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1415" windowHeight="7290" activeTab="4"/>
  </bookViews>
  <sheets>
    <sheet name="Inputs-Outputs" sheetId="1" r:id="rId1"/>
    <sheet name="CF Detail" sheetId="2" r:id="rId2"/>
    <sheet name="Depn-ATSV" sheetId="3" r:id="rId3"/>
    <sheet name="IRR" sheetId="4" r:id="rId4"/>
    <sheet name="Other" sheetId="5" r:id="rId5"/>
  </sheets>
  <externalReferences>
    <externalReference r:id="rId6"/>
    <externalReference r:id="rId7"/>
  </externalReferences>
  <definedNames>
    <definedName name="DRate">'[1]Inputs-Outputs'!$J$6</definedName>
    <definedName name="Life">'[1]Inputs-Outputs'!$G$6</definedName>
    <definedName name="LIfeNew">'Inputs-Outputs'!$G$7</definedName>
  </definedNames>
  <calcPr calcId="125725"/>
</workbook>
</file>

<file path=xl/calcChain.xml><?xml version="1.0" encoding="utf-8"?>
<calcChain xmlns="http://schemas.openxmlformats.org/spreadsheetml/2006/main">
  <c r="G130" i="4"/>
  <c r="G128"/>
  <c r="M35" i="1"/>
  <c r="N35"/>
  <c r="O35"/>
  <c r="L24" i="2"/>
  <c r="C31" i="1" s="1"/>
  <c r="M24" i="2"/>
  <c r="C32" i="1" s="1"/>
  <c r="E23" i="2"/>
  <c r="F23"/>
  <c r="G23"/>
  <c r="H23"/>
  <c r="I23"/>
  <c r="J23"/>
  <c r="L23"/>
  <c r="M23"/>
  <c r="D23"/>
  <c r="D22"/>
  <c r="K52" i="3"/>
  <c r="K58" s="1"/>
  <c r="E55"/>
  <c r="K55" s="1"/>
  <c r="E52"/>
  <c r="E22" i="2"/>
  <c r="F22"/>
  <c r="G22"/>
  <c r="H22"/>
  <c r="I22"/>
  <c r="J22"/>
  <c r="L22"/>
  <c r="M22"/>
  <c r="L17"/>
  <c r="M17"/>
  <c r="L16"/>
  <c r="M16"/>
  <c r="L18"/>
  <c r="M18"/>
  <c r="L19"/>
  <c r="M19"/>
  <c r="L20"/>
  <c r="M20"/>
  <c r="L15"/>
  <c r="M15"/>
  <c r="I149" i="4"/>
  <c r="D149"/>
  <c r="I148"/>
  <c r="D148"/>
  <c r="E149" s="1"/>
  <c r="I147"/>
  <c r="D147"/>
  <c r="E148" s="1"/>
  <c r="I146"/>
  <c r="D146"/>
  <c r="E147" s="1"/>
  <c r="I145"/>
  <c r="D145"/>
  <c r="E146" s="1"/>
  <c r="I144"/>
  <c r="D144"/>
  <c r="E145" s="1"/>
  <c r="I143"/>
  <c r="D143"/>
  <c r="E144" s="1"/>
  <c r="I142"/>
  <c r="D142"/>
  <c r="E143" s="1"/>
  <c r="I141"/>
  <c r="D141"/>
  <c r="E142" s="1"/>
  <c r="I140"/>
  <c r="I150" s="1"/>
  <c r="D140"/>
  <c r="E141" s="1"/>
  <c r="D139"/>
  <c r="E140" s="1"/>
  <c r="G124"/>
  <c r="G123"/>
  <c r="G122"/>
  <c r="G121"/>
  <c r="G120"/>
  <c r="G125" s="1"/>
  <c r="J124" s="1"/>
  <c r="J126" s="1"/>
  <c r="E77"/>
  <c r="I64" s="1"/>
  <c r="F75"/>
  <c r="F77" s="1"/>
  <c r="J64" s="1"/>
  <c r="E60"/>
  <c r="I41"/>
  <c r="D29"/>
  <c r="D28"/>
  <c r="G18" s="1"/>
  <c r="L7" i="5" l="1"/>
  <c r="L20" s="1"/>
  <c r="M7"/>
  <c r="M20" s="1"/>
  <c r="E58" i="3"/>
  <c r="E150" i="4"/>
  <c r="N9" i="5" l="1"/>
  <c r="Z29" i="3" l="1"/>
  <c r="K30" s="1"/>
  <c r="AA29"/>
  <c r="L30" s="1"/>
  <c r="E40"/>
  <c r="E14" i="2"/>
  <c r="F14"/>
  <c r="G14"/>
  <c r="H14"/>
  <c r="I14"/>
  <c r="J14"/>
  <c r="K14"/>
  <c r="L14"/>
  <c r="M14"/>
  <c r="D14"/>
  <c r="E13"/>
  <c r="F13"/>
  <c r="G13"/>
  <c r="H13"/>
  <c r="I13"/>
  <c r="J13"/>
  <c r="K13"/>
  <c r="L13"/>
  <c r="M13"/>
  <c r="D13"/>
  <c r="D7"/>
  <c r="K22" s="1"/>
  <c r="B16" i="1"/>
  <c r="H46" i="3"/>
  <c r="B46"/>
  <c r="G21" l="1"/>
  <c r="G20"/>
  <c r="G19"/>
  <c r="K48" s="1"/>
  <c r="C22"/>
  <c r="C21"/>
  <c r="C20"/>
  <c r="C19"/>
  <c r="D5" i="2"/>
  <c r="D4"/>
  <c r="D3"/>
  <c r="E36" i="3" l="1"/>
  <c r="E48"/>
  <c r="W32"/>
  <c r="Y32"/>
  <c r="AA32"/>
  <c r="T32"/>
  <c r="V32"/>
  <c r="X32"/>
  <c r="Z32"/>
  <c r="U32"/>
  <c r="Q29"/>
  <c r="Q28"/>
  <c r="Q26"/>
  <c r="Q32" s="1"/>
  <c r="Q25"/>
  <c r="Q31" s="1"/>
  <c r="V31" s="1"/>
  <c r="G31" s="1"/>
  <c r="T26"/>
  <c r="V26"/>
  <c r="X26"/>
  <c r="Z26"/>
  <c r="S25"/>
  <c r="D26" s="1"/>
  <c r="U25"/>
  <c r="F26" s="1"/>
  <c r="W25"/>
  <c r="H26" s="1"/>
  <c r="Y25"/>
  <c r="J26" s="1"/>
  <c r="AA25"/>
  <c r="L26" s="1"/>
  <c r="U26"/>
  <c r="W26"/>
  <c r="Y26"/>
  <c r="AA26"/>
  <c r="T25"/>
  <c r="E26" s="1"/>
  <c r="V25"/>
  <c r="G26" s="1"/>
  <c r="X25"/>
  <c r="I26" s="1"/>
  <c r="Z25"/>
  <c r="K26" s="1"/>
  <c r="Y31" l="1"/>
  <c r="J31" s="1"/>
  <c r="R31"/>
  <c r="C31" s="1"/>
  <c r="T31"/>
  <c r="E31" s="1"/>
  <c r="U31"/>
  <c r="F31" s="1"/>
  <c r="X31"/>
  <c r="I31" s="1"/>
  <c r="S26"/>
  <c r="AA31"/>
  <c r="L31" s="1"/>
  <c r="L32" s="1"/>
  <c r="W31"/>
  <c r="H31" s="1"/>
  <c r="S31"/>
  <c r="D31" s="1"/>
  <c r="Z31"/>
  <c r="K31" s="1"/>
  <c r="K32" s="1"/>
  <c r="R25"/>
  <c r="C26" s="1"/>
  <c r="R26"/>
  <c r="S32"/>
  <c r="R32"/>
  <c r="T29"/>
  <c r="E30" s="1"/>
  <c r="E32" s="1"/>
  <c r="F15" i="2" s="1"/>
  <c r="V29" i="3"/>
  <c r="G30" s="1"/>
  <c r="G32" s="1"/>
  <c r="H15" i="2" s="1"/>
  <c r="X29" i="3"/>
  <c r="I30" s="1"/>
  <c r="I32" s="1"/>
  <c r="J15" i="2" s="1"/>
  <c r="R29" i="3"/>
  <c r="C30" s="1"/>
  <c r="S29"/>
  <c r="D30" s="1"/>
  <c r="D32" s="1"/>
  <c r="E15" i="2" s="1"/>
  <c r="U29" i="3"/>
  <c r="F30" s="1"/>
  <c r="F32" s="1"/>
  <c r="G15" i="2" s="1"/>
  <c r="W29" i="3"/>
  <c r="H30" s="1"/>
  <c r="H32" s="1"/>
  <c r="I15" i="2" s="1"/>
  <c r="Y29" i="3"/>
  <c r="J30" s="1"/>
  <c r="S28"/>
  <c r="U28"/>
  <c r="W28"/>
  <c r="Y28"/>
  <c r="AA28"/>
  <c r="R28"/>
  <c r="T28"/>
  <c r="V28"/>
  <c r="X28"/>
  <c r="Z28"/>
  <c r="M26"/>
  <c r="J32" l="1"/>
  <c r="K15" i="2" s="1"/>
  <c r="M31" i="3"/>
  <c r="E37"/>
  <c r="E38" s="1"/>
  <c r="E41" s="1"/>
  <c r="E42" s="1"/>
  <c r="E43" s="1"/>
  <c r="D6" i="2" s="1"/>
  <c r="D8" s="1"/>
  <c r="E49" i="3"/>
  <c r="E50" s="1"/>
  <c r="E53" s="1"/>
  <c r="E54" s="1"/>
  <c r="E56" s="1"/>
  <c r="E59" s="1"/>
  <c r="E60" s="1"/>
  <c r="K19" i="2"/>
  <c r="K16"/>
  <c r="G19"/>
  <c r="G16"/>
  <c r="M30" i="3"/>
  <c r="K49" s="1"/>
  <c r="K50" s="1"/>
  <c r="K53" s="1"/>
  <c r="K54" s="1"/>
  <c r="K56" s="1"/>
  <c r="K59" s="1"/>
  <c r="K60" s="1"/>
  <c r="C32"/>
  <c r="D15" i="2" s="1"/>
  <c r="H19"/>
  <c r="H16"/>
  <c r="I19"/>
  <c r="I16"/>
  <c r="E19"/>
  <c r="E16"/>
  <c r="J19"/>
  <c r="J16"/>
  <c r="F19"/>
  <c r="F16"/>
  <c r="K62" i="3" l="1"/>
  <c r="K23" i="2" s="1"/>
  <c r="C7" i="5"/>
  <c r="C20" s="1"/>
  <c r="C27" s="1"/>
  <c r="C22" i="1"/>
  <c r="F17" i="2"/>
  <c r="F18" s="1"/>
  <c r="F20" s="1"/>
  <c r="F24" s="1"/>
  <c r="J17"/>
  <c r="J18" s="1"/>
  <c r="J20" s="1"/>
  <c r="J24" s="1"/>
  <c r="E17"/>
  <c r="E18" s="1"/>
  <c r="E20" s="1"/>
  <c r="E24" s="1"/>
  <c r="I17"/>
  <c r="I18" s="1"/>
  <c r="I20" s="1"/>
  <c r="I24" s="1"/>
  <c r="H17"/>
  <c r="H18" s="1"/>
  <c r="H20" s="1"/>
  <c r="H24" s="1"/>
  <c r="D19"/>
  <c r="D16"/>
  <c r="G17"/>
  <c r="G18" s="1"/>
  <c r="G20" s="1"/>
  <c r="G24" s="1"/>
  <c r="K17"/>
  <c r="K18" s="1"/>
  <c r="K20" s="1"/>
  <c r="K24" s="1"/>
  <c r="K7" i="5" l="1"/>
  <c r="K20" s="1"/>
  <c r="C30" i="1"/>
  <c r="E7" i="5"/>
  <c r="E20" s="1"/>
  <c r="C24" i="1"/>
  <c r="G7" i="5"/>
  <c r="G20" s="1"/>
  <c r="C26" i="1"/>
  <c r="I7" i="5"/>
  <c r="I20" s="1"/>
  <c r="C28" i="1"/>
  <c r="H7" i="5"/>
  <c r="H20" s="1"/>
  <c r="C27" i="1"/>
  <c r="F7" i="5"/>
  <c r="F20" s="1"/>
  <c r="C25" i="1"/>
  <c r="J7" i="5"/>
  <c r="J20" s="1"/>
  <c r="C29" i="1"/>
  <c r="D17" i="2"/>
  <c r="D18" s="1"/>
  <c r="D20" s="1"/>
  <c r="D24" s="1"/>
  <c r="C23" i="1" l="1"/>
  <c r="D7" i="5"/>
  <c r="D20" s="1"/>
  <c r="F21" i="1" l="1"/>
  <c r="F26" s="1"/>
  <c r="F22"/>
  <c r="F23"/>
</calcChain>
</file>

<file path=xl/sharedStrings.xml><?xml version="1.0" encoding="utf-8"?>
<sst xmlns="http://schemas.openxmlformats.org/spreadsheetml/2006/main" count="228" uniqueCount="150">
  <si>
    <t>Original Cost</t>
  </si>
  <si>
    <t>Old</t>
  </si>
  <si>
    <t>New</t>
  </si>
  <si>
    <t>Expected Useful Life</t>
  </si>
  <si>
    <t>Years Owned</t>
  </si>
  <si>
    <t>Net Installation Costs</t>
  </si>
  <si>
    <t>Net Working Capital Investment</t>
  </si>
  <si>
    <t>Cash Operating Revenue</t>
  </si>
  <si>
    <t>Cash Operating Expenses</t>
  </si>
  <si>
    <t>Depreciation Type</t>
  </si>
  <si>
    <t>Depreciation Class</t>
  </si>
  <si>
    <t>Marginal Tax Rate</t>
  </si>
  <si>
    <t>Discount/Hurdle Rate</t>
  </si>
  <si>
    <t>Salvage Value at t=0</t>
  </si>
  <si>
    <t>Cost of New Project</t>
  </si>
  <si>
    <t>-</t>
  </si>
  <si>
    <t>+</t>
  </si>
  <si>
    <t>BTSV of Old Project</t>
  </si>
  <si>
    <t>+/-</t>
  </si>
  <si>
    <t>Tax Effect on Sale of Old Proj</t>
  </si>
  <si>
    <t>Change in NWC</t>
  </si>
  <si>
    <t>Net Initial Outlay</t>
  </si>
  <si>
    <t>Time Dependent</t>
  </si>
  <si>
    <t>INPUTS</t>
  </si>
  <si>
    <t>General</t>
  </si>
  <si>
    <t>Initial Outlay</t>
  </si>
  <si>
    <t>MACRS</t>
  </si>
  <si>
    <t>3-Year</t>
  </si>
  <si>
    <t>Year</t>
  </si>
  <si>
    <t>3-year</t>
  </si>
  <si>
    <t>5-year</t>
  </si>
  <si>
    <t>7-year</t>
  </si>
  <si>
    <t>10-year</t>
  </si>
  <si>
    <t>MACRS Percentages</t>
  </si>
  <si>
    <t>Old Asset at t=0</t>
  </si>
  <si>
    <t>Cost</t>
  </si>
  <si>
    <t>Type</t>
  </si>
  <si>
    <t>Class</t>
  </si>
  <si>
    <t>Years</t>
  </si>
  <si>
    <t>Current Value of Old Project</t>
  </si>
  <si>
    <t>Book Value of Old Project</t>
  </si>
  <si>
    <t>Accumulated Deprecation</t>
  </si>
  <si>
    <t>Gain (Loss) on Sale</t>
  </si>
  <si>
    <t>x</t>
  </si>
  <si>
    <t>Tax Rate x (-1)</t>
  </si>
  <si>
    <t>Tax Effect on Sale</t>
  </si>
  <si>
    <t>Total</t>
  </si>
  <si>
    <t>Incremental Cash Revenue</t>
  </si>
  <si>
    <t>Incremental Cash Expenses</t>
  </si>
  <si>
    <t>Incremental Depreciation</t>
  </si>
  <si>
    <t>Incremental Taxable Income</t>
  </si>
  <si>
    <t xml:space="preserve">Incremental Tax </t>
  </si>
  <si>
    <t>Incemental Net Income</t>
  </si>
  <si>
    <t>Reverse Incremental Depr</t>
  </si>
  <si>
    <t>Old Asset</t>
  </si>
  <si>
    <t>New Asset</t>
  </si>
  <si>
    <t>New Asset at t=0</t>
  </si>
  <si>
    <t>Incr. Depn</t>
  </si>
  <si>
    <t>Recover Incremental NWC</t>
  </si>
  <si>
    <t>Incremental Annual Cash Flow</t>
  </si>
  <si>
    <t>Incremental ATSV</t>
  </si>
  <si>
    <t>Orignal Cost of Old Project</t>
  </si>
  <si>
    <t>Orignal Cost of New Project</t>
  </si>
  <si>
    <t>ATSV for Old Project</t>
  </si>
  <si>
    <t>ATSV for New Project</t>
  </si>
  <si>
    <t>Current Value of New Project</t>
  </si>
  <si>
    <t>Book Value of New Project</t>
  </si>
  <si>
    <t>Tax Effect at t=0 for OLD Project</t>
  </si>
  <si>
    <t>Total Cash Flow</t>
  </si>
  <si>
    <t>OUTPUTS</t>
  </si>
  <si>
    <t>Annual Cash Flows</t>
  </si>
  <si>
    <t>Cash Flows</t>
  </si>
  <si>
    <t>CF</t>
  </si>
  <si>
    <t>t</t>
  </si>
  <si>
    <t>NPV</t>
  </si>
  <si>
    <t>IRR</t>
  </si>
  <si>
    <t>MIRR</t>
  </si>
  <si>
    <t>Payback</t>
  </si>
  <si>
    <t>Disc Payback</t>
  </si>
  <si>
    <t>Eqiv. Ann. Annuity</t>
  </si>
  <si>
    <t>Evaluation Measures</t>
  </si>
  <si>
    <t>Information from the Inputs Page</t>
  </si>
  <si>
    <t>Depreciation on the Old Asset up to t=0:</t>
  </si>
  <si>
    <t>Depreciation on the Old and New Assets from t=0 to end of the project:</t>
  </si>
  <si>
    <t>- SELECT -</t>
  </si>
  <si>
    <t>OLD</t>
  </si>
  <si>
    <t>NEW</t>
  </si>
  <si>
    <t>SL</t>
  </si>
  <si>
    <t>5-Year</t>
  </si>
  <si>
    <t>7-Year</t>
  </si>
  <si>
    <t>10-Year</t>
  </si>
  <si>
    <t>OLD NOW</t>
  </si>
  <si>
    <t>The primary goal of any business to create VALUE (wealth) for</t>
  </si>
  <si>
    <t xml:space="preserve">  its owners. Therefore, any decision criteria for investing the</t>
  </si>
  <si>
    <t xml:space="preserve">  firm's capital should indicate whether or not value is being </t>
  </si>
  <si>
    <t xml:space="preserve">  created and if so, how much. Used correctly, NPV does that.</t>
  </si>
  <si>
    <t>NPV decision rule: If NPV&gt;0 then ACCEPT the project because</t>
  </si>
  <si>
    <t xml:space="preserve">    VALUE is being CREATED equal to the NPV</t>
  </si>
  <si>
    <t>NPV decision rule: If NPV&lt;0 then REJECT the project because</t>
  </si>
  <si>
    <t xml:space="preserve">    VALUE is being DESTROYED equal to the NPV</t>
  </si>
  <si>
    <t>IRR decision rule: If IRR&gt;Required Return then ACCEPT the project</t>
  </si>
  <si>
    <t xml:space="preserve">   because NPV must be positive.</t>
  </si>
  <si>
    <t>IRR decision rule: If IRR&lt;Required Return then REJECT the project</t>
  </si>
  <si>
    <t xml:space="preserve">   because NPV must be negative.</t>
  </si>
  <si>
    <t>Example:</t>
  </si>
  <si>
    <t>Disc Rate</t>
  </si>
  <si>
    <t>But IRR has several problems in special cases:</t>
  </si>
  <si>
    <t>(1)</t>
  </si>
  <si>
    <t>IRR may not have a unique solution:</t>
  </si>
  <si>
    <t>If the signs of the cash flows change more than once, IRR is not unique.</t>
  </si>
  <si>
    <t>There will be one IRR per sign change. More than one IRR means that</t>
  </si>
  <si>
    <t>all of them are correct -- so none of them is usable.</t>
  </si>
  <si>
    <t>Consider these cash flows:</t>
  </si>
  <si>
    <t>Rate</t>
  </si>
  <si>
    <t>(2)</t>
  </si>
  <si>
    <t>IRR cannot be used to rank mutually exclusive projects:</t>
  </si>
  <si>
    <t>Proj A</t>
  </si>
  <si>
    <t>Proj B</t>
  </si>
  <si>
    <t>Disc Rt</t>
  </si>
  <si>
    <t>(3)</t>
  </si>
  <si>
    <t>IRR is only useful if the hurdle rate is the risk-adjusted cost of capital,</t>
  </si>
  <si>
    <t>and that is also what is used as the discount rate for finding NPV.</t>
  </si>
  <si>
    <t>(4)</t>
  </si>
  <si>
    <t xml:space="preserve">IRR assumes that all cash flows are reinvested at the IRR for the </t>
  </si>
  <si>
    <t>duration of the project's life.</t>
  </si>
  <si>
    <t>High IRR's OVERSTATE the true value of the project</t>
  </si>
  <si>
    <t>Low IRR's UNDERSTATE the true value of the project</t>
  </si>
  <si>
    <t>MIRR fixes most of these problems:</t>
  </si>
  <si>
    <t>Always gives a unique solution</t>
  </si>
  <si>
    <t>Assumes that all cash flows are reinvested at the risk-adjusted cost of capital</t>
  </si>
  <si>
    <t xml:space="preserve">  -- That is -- At the discount rate that is used to find NPV</t>
  </si>
  <si>
    <t>Does BETTER (but not perfectly) at ranking mutually exclusive projects</t>
  </si>
  <si>
    <t>Step 1</t>
  </si>
  <si>
    <t>Step 2:</t>
  </si>
  <si>
    <t>Step 3:</t>
  </si>
  <si>
    <t>Function:</t>
  </si>
  <si>
    <t xml:space="preserve">The MIRR for our model is not so easy to find, since it has to work for </t>
  </si>
  <si>
    <t xml:space="preserve">   up to 10 years of cash flows -- but the MIRR formula would</t>
  </si>
  <si>
    <t xml:space="preserve">   assume a project life of 10 years even if it isn't</t>
  </si>
  <si>
    <t>Check cash flows for more than one sign change:</t>
  </si>
  <si>
    <t>Testing Area</t>
  </si>
  <si>
    <t/>
  </si>
  <si>
    <t>Sum</t>
  </si>
  <si>
    <t>If the sum above is more than 1, then there are multiple sign changes and</t>
  </si>
  <si>
    <t>therefore multiple IRRs.</t>
  </si>
  <si>
    <t>MIRR:</t>
  </si>
  <si>
    <t xml:space="preserve">  Using direct calculation</t>
  </si>
  <si>
    <t xml:space="preserve">  Using Formula</t>
  </si>
  <si>
    <t>PB:</t>
  </si>
  <si>
    <t>DPP: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</si>
</sst>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1" fontId="0" fillId="0" borderId="0" xfId="0" applyNumberFormat="1"/>
    <xf numFmtId="41" fontId="0" fillId="0" borderId="0" xfId="0" quotePrefix="1" applyNumberFormat="1" applyAlignment="1">
      <alignment horizontal="center"/>
    </xf>
    <xf numFmtId="41" fontId="3" fillId="0" borderId="0" xfId="0" applyNumberFormat="1" applyFont="1"/>
    <xf numFmtId="41" fontId="0" fillId="0" borderId="0" xfId="0" applyNumberFormat="1" applyAlignment="1">
      <alignment horizontal="center"/>
    </xf>
    <xf numFmtId="41" fontId="0" fillId="0" borderId="2" xfId="0" applyNumberForma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41" fontId="0" fillId="2" borderId="5" xfId="0" applyNumberFormat="1" applyFill="1" applyBorder="1"/>
    <xf numFmtId="41" fontId="0" fillId="0" borderId="6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41" fontId="0" fillId="0" borderId="10" xfId="0" applyNumberFormat="1" applyBorder="1"/>
    <xf numFmtId="41" fontId="0" fillId="0" borderId="11" xfId="0" applyNumberFormat="1" applyBorder="1"/>
    <xf numFmtId="41" fontId="0" fillId="2" borderId="4" xfId="0" applyNumberFormat="1" applyFill="1" applyBorder="1"/>
    <xf numFmtId="41" fontId="0" fillId="0" borderId="12" xfId="0" applyNumberFormat="1" applyBorder="1"/>
    <xf numFmtId="41" fontId="0" fillId="0" borderId="13" xfId="0" applyNumberFormat="1" applyBorder="1"/>
    <xf numFmtId="10" fontId="0" fillId="0" borderId="14" xfId="2" applyNumberFormat="1" applyFont="1" applyBorder="1"/>
    <xf numFmtId="10" fontId="0" fillId="0" borderId="15" xfId="2" applyNumberFormat="1" applyFont="1" applyBorder="1"/>
    <xf numFmtId="41" fontId="0" fillId="0" borderId="4" xfId="0" applyNumberFormat="1" applyBorder="1" applyAlignment="1">
      <alignment horizontal="center"/>
    </xf>
    <xf numFmtId="10" fontId="7" fillId="0" borderId="0" xfId="0" applyNumberFormat="1" applyFont="1"/>
    <xf numFmtId="0" fontId="0" fillId="0" borderId="0" xfId="0"/>
    <xf numFmtId="41" fontId="0" fillId="0" borderId="0" xfId="0" applyNumberFormat="1"/>
    <xf numFmtId="41" fontId="3" fillId="0" borderId="0" xfId="0" applyNumberFormat="1" applyFont="1"/>
    <xf numFmtId="41" fontId="0" fillId="0" borderId="19" xfId="0" applyNumberFormat="1" applyBorder="1"/>
    <xf numFmtId="10" fontId="0" fillId="0" borderId="1" xfId="2" applyNumberFormat="1" applyFont="1" applyBorder="1"/>
    <xf numFmtId="0" fontId="2" fillId="0" borderId="4" xfId="0" applyFont="1" applyBorder="1" applyAlignment="1">
      <alignment horizontal="center"/>
    </xf>
    <xf numFmtId="10" fontId="0" fillId="0" borderId="5" xfId="2" applyNumberFormat="1" applyFont="1" applyBorder="1"/>
    <xf numFmtId="0" fontId="2" fillId="0" borderId="6" xfId="0" applyFont="1" applyBorder="1" applyAlignment="1">
      <alignment horizontal="center"/>
    </xf>
    <xf numFmtId="10" fontId="0" fillId="0" borderId="8" xfId="2" applyNumberFormat="1" applyFont="1" applyBorder="1"/>
    <xf numFmtId="0" fontId="2" fillId="0" borderId="20" xfId="0" applyFont="1" applyBorder="1" applyAlignment="1">
      <alignment horizontal="center"/>
    </xf>
    <xf numFmtId="10" fontId="0" fillId="0" borderId="21" xfId="2" applyNumberFormat="1" applyFont="1" applyBorder="1"/>
    <xf numFmtId="10" fontId="0" fillId="0" borderId="22" xfId="2" applyNumberFormat="1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0" fontId="0" fillId="2" borderId="1" xfId="2" applyNumberFormat="1" applyFont="1" applyFill="1" applyBorder="1"/>
    <xf numFmtId="10" fontId="0" fillId="2" borderId="7" xfId="2" applyNumberFormat="1" applyFont="1" applyFill="1" applyBorder="1"/>
    <xf numFmtId="41" fontId="2" fillId="0" borderId="0" xfId="0" applyNumberFormat="1" applyFont="1" applyAlignment="1">
      <alignment horizontal="center"/>
    </xf>
    <xf numFmtId="41" fontId="0" fillId="0" borderId="19" xfId="0" applyNumberFormat="1" applyFont="1" applyBorder="1"/>
    <xf numFmtId="0" fontId="0" fillId="0" borderId="19" xfId="0" applyBorder="1"/>
    <xf numFmtId="41" fontId="0" fillId="0" borderId="0" xfId="0" applyNumberFormat="1" applyBorder="1"/>
    <xf numFmtId="0" fontId="0" fillId="0" borderId="0" xfId="0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0" applyNumberFormat="1" applyFill="1" applyBorder="1"/>
    <xf numFmtId="41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0" fillId="0" borderId="0" xfId="0" quotePrefix="1" applyAlignment="1">
      <alignment horizontal="right"/>
    </xf>
    <xf numFmtId="41" fontId="0" fillId="0" borderId="27" xfId="0" applyNumberFormat="1" applyBorder="1"/>
    <xf numFmtId="41" fontId="0" fillId="0" borderId="28" xfId="0" applyNumberFormat="1" applyBorder="1"/>
    <xf numFmtId="41" fontId="0" fillId="0" borderId="29" xfId="0" applyNumberFormat="1" applyBorder="1"/>
    <xf numFmtId="41" fontId="8" fillId="0" borderId="0" xfId="0" applyNumberFormat="1" applyFont="1" applyAlignment="1">
      <alignment horizontal="center"/>
    </xf>
    <xf numFmtId="41" fontId="0" fillId="0" borderId="17" xfId="0" applyNumberFormat="1" applyBorder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41" fontId="0" fillId="0" borderId="0" xfId="0" applyNumberFormat="1" applyFill="1" applyBorder="1" applyAlignment="1">
      <alignment horizontal="left" indent="1"/>
    </xf>
    <xf numFmtId="41" fontId="3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41" fontId="0" fillId="0" borderId="0" xfId="0" quotePrefix="1" applyNumberFormat="1"/>
    <xf numFmtId="41" fontId="4" fillId="3" borderId="30" xfId="0" applyNumberFormat="1" applyFont="1" applyFill="1" applyBorder="1" applyAlignment="1">
      <alignment horizontal="center" vertical="center"/>
    </xf>
    <xf numFmtId="41" fontId="4" fillId="3" borderId="31" xfId="0" applyNumberFormat="1" applyFont="1" applyFill="1" applyBorder="1" applyAlignment="1">
      <alignment horizontal="center" vertical="center"/>
    </xf>
    <xf numFmtId="41" fontId="4" fillId="3" borderId="32" xfId="0" applyNumberFormat="1" applyFont="1" applyFill="1" applyBorder="1" applyAlignment="1">
      <alignment horizontal="center" vertical="center"/>
    </xf>
    <xf numFmtId="43" fontId="0" fillId="0" borderId="0" xfId="0" applyNumberFormat="1"/>
    <xf numFmtId="164" fontId="7" fillId="0" borderId="0" xfId="1" applyNumberFormat="1" applyFont="1"/>
    <xf numFmtId="0" fontId="0" fillId="0" borderId="0" xfId="0" quotePrefix="1"/>
    <xf numFmtId="0" fontId="0" fillId="0" borderId="0" xfId="0" quotePrefix="1" applyBorder="1"/>
    <xf numFmtId="4" fontId="0" fillId="0" borderId="0" xfId="0" applyNumberForma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0" borderId="0" xfId="0" quotePrefix="1" applyFont="1" applyAlignment="1">
      <alignment horizontal="center"/>
    </xf>
    <xf numFmtId="43" fontId="0" fillId="0" borderId="0" xfId="1" applyFont="1"/>
    <xf numFmtId="9" fontId="0" fillId="0" borderId="0" xfId="2" applyFont="1"/>
    <xf numFmtId="44" fontId="0" fillId="0" borderId="0" xfId="3" applyFont="1"/>
    <xf numFmtId="8" fontId="2" fillId="0" borderId="0" xfId="0" applyNumberFormat="1" applyFont="1"/>
    <xf numFmtId="44" fontId="0" fillId="0" borderId="0" xfId="0" applyNumberFormat="1"/>
    <xf numFmtId="10" fontId="0" fillId="0" borderId="0" xfId="2" applyNumberFormat="1" applyFont="1"/>
    <xf numFmtId="8" fontId="0" fillId="0" borderId="0" xfId="0" applyNumberFormat="1"/>
    <xf numFmtId="8" fontId="0" fillId="0" borderId="0" xfId="3" applyNumberFormat="1" applyFont="1"/>
    <xf numFmtId="0" fontId="2" fillId="0" borderId="0" xfId="0" applyFont="1" applyAlignment="1">
      <alignment horizontal="right"/>
    </xf>
    <xf numFmtId="165" fontId="0" fillId="0" borderId="0" xfId="3" applyNumberFormat="1" applyFont="1"/>
    <xf numFmtId="0" fontId="9" fillId="0" borderId="0" xfId="0" applyFont="1" applyAlignment="1">
      <alignment horizontal="center"/>
    </xf>
    <xf numFmtId="42" fontId="0" fillId="0" borderId="0" xfId="0" applyNumberFormat="1"/>
    <xf numFmtId="10" fontId="0" fillId="4" borderId="33" xfId="0" applyNumberFormat="1" applyFill="1" applyBorder="1"/>
    <xf numFmtId="41" fontId="5" fillId="3" borderId="16" xfId="0" applyNumberFormat="1" applyFont="1" applyFill="1" applyBorder="1" applyAlignment="1">
      <alignment horizontal="center" vertical="center"/>
    </xf>
    <xf numFmtId="41" fontId="5" fillId="3" borderId="17" xfId="0" applyNumberFormat="1" applyFont="1" applyFill="1" applyBorder="1" applyAlignment="1">
      <alignment horizontal="center" vertical="center"/>
    </xf>
    <xf numFmtId="41" fontId="5" fillId="3" borderId="18" xfId="0" applyNumberFormat="1" applyFont="1" applyFill="1" applyBorder="1" applyAlignment="1">
      <alignment horizontal="center" vertical="center"/>
    </xf>
    <xf numFmtId="41" fontId="4" fillId="3" borderId="16" xfId="0" applyNumberFormat="1" applyFont="1" applyFill="1" applyBorder="1" applyAlignment="1">
      <alignment horizontal="center" vertical="center"/>
    </xf>
    <xf numFmtId="41" fontId="4" fillId="3" borderId="18" xfId="0" applyNumberFormat="1" applyFont="1" applyFill="1" applyBorder="1" applyAlignment="1">
      <alignment horizontal="center" vertical="center"/>
    </xf>
    <xf numFmtId="41" fontId="4" fillId="3" borderId="17" xfId="0" applyNumberFormat="1" applyFont="1" applyFill="1" applyBorder="1" applyAlignment="1">
      <alignment horizontal="center" vertical="center"/>
    </xf>
    <xf numFmtId="41" fontId="8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center"/>
    </xf>
    <xf numFmtId="41" fontId="2" fillId="0" borderId="26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43" fontId="0" fillId="0" borderId="0" xfId="0" quotePrefix="1" applyNumberFormat="1"/>
    <xf numFmtId="41" fontId="3" fillId="0" borderId="0" xfId="0" quotePrefix="1" applyNumberFormat="1" applyFont="1"/>
    <xf numFmtId="165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71062992125967"/>
          <c:y val="5.6030183727034118E-2"/>
          <c:w val="0.82428237095362966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[2]IRR!$I$64</c:f>
              <c:strCache>
                <c:ptCount val="1"/>
                <c:pt idx="0">
                  <c:v>165.0408877</c:v>
                </c:pt>
              </c:strCache>
            </c:strRef>
          </c:tx>
          <c:marker>
            <c:symbol val="none"/>
          </c:marker>
          <c:xVal>
            <c:numRef>
              <c:f>[2]IRR!$H$65:$H$80</c:f>
              <c:numCache>
                <c:formatCode>General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[2]IRR!$I$65:$I$80</c:f>
              <c:numCache>
                <c:formatCode>General</c:formatCode>
                <c:ptCount val="16"/>
                <c:pt idx="0">
                  <c:v>560</c:v>
                </c:pt>
                <c:pt idx="1">
                  <c:v>470.76643674407478</c:v>
                </c:pt>
                <c:pt idx="2">
                  <c:v>387.1129278292342</c:v>
                </c:pt>
                <c:pt idx="3">
                  <c:v>308.55455441266577</c:v>
                </c:pt>
                <c:pt idx="4">
                  <c:v>234.65923223281015</c:v>
                </c:pt>
                <c:pt idx="5">
                  <c:v>165.04088766912309</c:v>
                </c:pt>
                <c:pt idx="6">
                  <c:v>99.353642525249597</c:v>
                </c:pt>
                <c:pt idx="7">
                  <c:v>37.286840899745812</c:v>
                </c:pt>
                <c:pt idx="8">
                  <c:v>-21.439218251498232</c:v>
                </c:pt>
                <c:pt idx="9">
                  <c:v>-77.076954968626524</c:v>
                </c:pt>
                <c:pt idx="10">
                  <c:v>-129.85468106995836</c:v>
                </c:pt>
                <c:pt idx="11">
                  <c:v>-179.97934850060392</c:v>
                </c:pt>
                <c:pt idx="12">
                  <c:v>-227.63893697022309</c:v>
                </c:pt>
                <c:pt idx="13">
                  <c:v>-273.0045340541235</c:v>
                </c:pt>
                <c:pt idx="14">
                  <c:v>-316.23215228319168</c:v>
                </c:pt>
                <c:pt idx="15">
                  <c:v>-357.4643206308765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[2]IRR!$J$64</c:f>
              <c:strCache>
                <c:ptCount val="1"/>
                <c:pt idx="0">
                  <c:v>465.2213756</c:v>
                </c:pt>
              </c:strCache>
            </c:strRef>
          </c:tx>
          <c:marker>
            <c:symbol val="none"/>
          </c:marker>
          <c:xVal>
            <c:numRef>
              <c:f>[2]IRR!$H$65:$H$80</c:f>
              <c:numCache>
                <c:formatCode>General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[2]IRR!$J$65:$J$80</c:f>
              <c:numCache>
                <c:formatCode>General</c:formatCode>
                <c:ptCount val="16"/>
                <c:pt idx="0">
                  <c:v>2700</c:v>
                </c:pt>
                <c:pt idx="1">
                  <c:v>2116.223583029192</c:v>
                </c:pt>
                <c:pt idx="2">
                  <c:v>1612.0056966346301</c:v>
                </c:pt>
                <c:pt idx="3">
                  <c:v>1175.2147611455002</c:v>
                </c:pt>
                <c:pt idx="4">
                  <c:v>795.76087656511527</c:v>
                </c:pt>
                <c:pt idx="5">
                  <c:v>465.22137564246623</c:v>
                </c:pt>
                <c:pt idx="6">
                  <c:v>176.54045701654013</c:v>
                </c:pt>
                <c:pt idx="7">
                  <c:v>-76.212782159823291</c:v>
                </c:pt>
                <c:pt idx="8">
                  <c:v>-298.04006726805505</c:v>
                </c:pt>
                <c:pt idx="9">
                  <c:v>-493.17288527234791</c:v>
                </c:pt>
                <c:pt idx="10">
                  <c:v>-665.20204618198431</c:v>
                </c:pt>
                <c:pt idx="11">
                  <c:v>-817.18368556081828</c:v>
                </c:pt>
                <c:pt idx="12">
                  <c:v>-951.72630021118266</c:v>
                </c:pt>
                <c:pt idx="13">
                  <c:v>-1071.0624562332694</c:v>
                </c:pt>
                <c:pt idx="14">
                  <c:v>-1177.1080650505612</c:v>
                </c:pt>
                <c:pt idx="15">
                  <c:v>-1271.5115402647689</c:v>
                </c:pt>
              </c:numCache>
            </c:numRef>
          </c:yVal>
          <c:smooth val="1"/>
        </c:ser>
        <c:axId val="63104128"/>
        <c:axId val="63105664"/>
      </c:scatterChart>
      <c:valAx>
        <c:axId val="63104128"/>
        <c:scaling>
          <c:orientation val="minMax"/>
        </c:scaling>
        <c:axPos val="b"/>
        <c:numFmt formatCode="General" sourceLinked="1"/>
        <c:tickLblPos val="nextTo"/>
        <c:crossAx val="63105664"/>
        <c:crosses val="autoZero"/>
        <c:crossBetween val="midCat"/>
      </c:valAx>
      <c:valAx>
        <c:axId val="63105664"/>
        <c:scaling>
          <c:orientation val="minMax"/>
        </c:scaling>
        <c:axPos val="l"/>
        <c:majorGridlines/>
        <c:numFmt formatCode="General" sourceLinked="1"/>
        <c:tickLblPos val="nextTo"/>
        <c:crossAx val="63104128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[1]IRR!$H$42:$H$57</c:f>
              <c:numCache>
                <c:formatCode>General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[1]IRR!$I$42:$I$57</c:f>
              <c:numCache>
                <c:formatCode>General</c:formatCode>
                <c:ptCount val="16"/>
                <c:pt idx="0">
                  <c:v>-50</c:v>
                </c:pt>
                <c:pt idx="1">
                  <c:v>-9.2830942618356858</c:v>
                </c:pt>
                <c:pt idx="2">
                  <c:v>15.030028167835098</c:v>
                </c:pt>
                <c:pt idx="3">
                  <c:v>27.759206514228026</c:v>
                </c:pt>
                <c:pt idx="4">
                  <c:v>32.300684869638644</c:v>
                </c:pt>
                <c:pt idx="5">
                  <c:v>31.061078566799779</c:v>
                </c:pt>
                <c:pt idx="6">
                  <c:v>25.75450611252154</c:v>
                </c:pt>
                <c:pt idx="7">
                  <c:v>17.607458430078623</c:v>
                </c:pt>
                <c:pt idx="8">
                  <c:v>7.501005125185884</c:v>
                </c:pt>
                <c:pt idx="9">
                  <c:v>-3.929857303151266</c:v>
                </c:pt>
                <c:pt idx="10">
                  <c:v>-16.226367879718623</c:v>
                </c:pt>
                <c:pt idx="11">
                  <c:v>-29.056615869377879</c:v>
                </c:pt>
                <c:pt idx="12">
                  <c:v>-42.180418834388547</c:v>
                </c:pt>
                <c:pt idx="13">
                  <c:v>-55.424208009106337</c:v>
                </c:pt>
                <c:pt idx="14">
                  <c:v>-68.66297582203913</c:v>
                </c:pt>
                <c:pt idx="15">
                  <c:v>-81.80723514087299</c:v>
                </c:pt>
              </c:numCache>
            </c:numRef>
          </c:yVal>
          <c:smooth val="1"/>
        </c:ser>
        <c:axId val="63678720"/>
        <c:axId val="63684608"/>
      </c:scatterChart>
      <c:valAx>
        <c:axId val="63678720"/>
        <c:scaling>
          <c:orientation val="minMax"/>
        </c:scaling>
        <c:axPos val="b"/>
        <c:numFmt formatCode="General" sourceLinked="1"/>
        <c:tickLblPos val="nextTo"/>
        <c:crossAx val="63684608"/>
        <c:crosses val="autoZero"/>
        <c:crossBetween val="midCat"/>
      </c:valAx>
      <c:valAx>
        <c:axId val="63684608"/>
        <c:scaling>
          <c:orientation val="minMax"/>
        </c:scaling>
        <c:axPos val="l"/>
        <c:majorGridlines/>
        <c:numFmt formatCode="General" sourceLinked="1"/>
        <c:tickLblPos val="nextTo"/>
        <c:crossAx val="63678720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175046</xdr:colOff>
      <xdr:row>81</xdr:row>
      <xdr:rowOff>55463</xdr:rowOff>
    </xdr:from>
    <xdr:to>
      <xdr:col>8</xdr:col>
      <xdr:colOff>4928</xdr:colOff>
      <xdr:row>96</xdr:row>
      <xdr:rowOff>36413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161192</xdr:colOff>
      <xdr:row>41</xdr:row>
      <xdr:rowOff>87922</xdr:rowOff>
    </xdr:from>
    <xdr:to>
      <xdr:col>16</xdr:col>
      <xdr:colOff>293077</xdr:colOff>
      <xdr:row>55</xdr:row>
      <xdr:rowOff>161191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0.33056</cdr:x>
      <cdr:y>0.46759</cdr:y>
    </cdr:from>
    <cdr:to>
      <cdr:x>0.55278</cdr:x>
      <cdr:y>0.56481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1300" y="1282700"/>
          <a:ext cx="1016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Project B</a:t>
          </a:r>
        </a:p>
      </cdr:txBody>
    </cdr:sp>
  </cdr:relSizeAnchor>
  <cdr:relSizeAnchor xmlns:cdr="http://schemas.openxmlformats.org/drawingml/2006/chartDrawing">
    <cdr:from>
      <cdr:x>0.14722</cdr:x>
      <cdr:y>0.56944</cdr:y>
    </cdr:from>
    <cdr:to>
      <cdr:x>0.30556</cdr:x>
      <cdr:y>0.63889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3100" y="1562100"/>
          <a:ext cx="7239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Project 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531%20Web/FIN531/CurrentDocs/CapBud%20Model%20Final%2015Jan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1\web_data\faculty.bus.olemiss.edu\dhawley\FIN531\Spreadsheets\CapBud%20Model%20Setup%20Phase%203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-Outputs"/>
      <sheetName val="CF Detail"/>
      <sheetName val="Depn-ATSV"/>
      <sheetName val="IRR"/>
      <sheetName val="OTHER"/>
    </sheetNames>
    <sheetDataSet>
      <sheetData sheetId="0">
        <row r="6">
          <cell r="G6">
            <v>8</v>
          </cell>
          <cell r="J6">
            <v>0.12</v>
          </cell>
        </row>
        <row r="21">
          <cell r="C21">
            <v>-79532.766666666663</v>
          </cell>
        </row>
        <row r="22">
          <cell r="C22">
            <v>20694.5</v>
          </cell>
        </row>
        <row r="23">
          <cell r="C23">
            <v>25733.3</v>
          </cell>
        </row>
        <row r="24">
          <cell r="C24">
            <v>16915.400000000001</v>
          </cell>
        </row>
        <row r="25">
          <cell r="C25">
            <v>14399.4</v>
          </cell>
        </row>
        <row r="26">
          <cell r="C26">
            <v>11880</v>
          </cell>
        </row>
        <row r="27">
          <cell r="C27">
            <v>11880</v>
          </cell>
        </row>
        <row r="28">
          <cell r="C28">
            <v>11880</v>
          </cell>
        </row>
        <row r="29">
          <cell r="C29">
            <v>18190.166666666668</v>
          </cell>
        </row>
        <row r="30">
          <cell r="C30" t="str">
            <v/>
          </cell>
        </row>
        <row r="31">
          <cell r="C31" t="str">
            <v/>
          </cell>
        </row>
      </sheetData>
      <sheetData sheetId="1"/>
      <sheetData sheetId="2"/>
      <sheetData sheetId="3">
        <row r="42">
          <cell r="H42">
            <v>0</v>
          </cell>
          <cell r="I42">
            <v>-50</v>
          </cell>
        </row>
        <row r="43">
          <cell r="H43">
            <v>0.02</v>
          </cell>
          <cell r="I43">
            <v>-9.2830942618356858</v>
          </cell>
        </row>
        <row r="44">
          <cell r="H44">
            <v>0.04</v>
          </cell>
          <cell r="I44">
            <v>15.030028167835098</v>
          </cell>
        </row>
        <row r="45">
          <cell r="H45">
            <v>0.06</v>
          </cell>
          <cell r="I45">
            <v>27.759206514228026</v>
          </cell>
        </row>
        <row r="46">
          <cell r="H46">
            <v>0.08</v>
          </cell>
          <cell r="I46">
            <v>32.300684869638644</v>
          </cell>
        </row>
        <row r="47">
          <cell r="H47">
            <v>0.1</v>
          </cell>
          <cell r="I47">
            <v>31.061078566799779</v>
          </cell>
        </row>
        <row r="48">
          <cell r="H48">
            <v>0.12</v>
          </cell>
          <cell r="I48">
            <v>25.75450611252154</v>
          </cell>
        </row>
        <row r="49">
          <cell r="H49">
            <v>0.14000000000000001</v>
          </cell>
          <cell r="I49">
            <v>17.607458430078623</v>
          </cell>
        </row>
        <row r="50">
          <cell r="H50">
            <v>0.16</v>
          </cell>
          <cell r="I50">
            <v>7.501005125185884</v>
          </cell>
        </row>
        <row r="51">
          <cell r="H51">
            <v>0.18</v>
          </cell>
          <cell r="I51">
            <v>-3.929857303151266</v>
          </cell>
        </row>
        <row r="52">
          <cell r="H52">
            <v>0.2</v>
          </cell>
          <cell r="I52">
            <v>-16.226367879718623</v>
          </cell>
        </row>
        <row r="53">
          <cell r="H53">
            <v>0.22</v>
          </cell>
          <cell r="I53">
            <v>-29.056615869377879</v>
          </cell>
        </row>
        <row r="54">
          <cell r="H54">
            <v>0.24</v>
          </cell>
          <cell r="I54">
            <v>-42.180418834388547</v>
          </cell>
        </row>
        <row r="55">
          <cell r="H55">
            <v>0.26</v>
          </cell>
          <cell r="I55">
            <v>-55.424208009106337</v>
          </cell>
        </row>
        <row r="56">
          <cell r="H56">
            <v>0.28000000000000003</v>
          </cell>
          <cell r="I56">
            <v>-68.66297582203913</v>
          </cell>
        </row>
        <row r="57">
          <cell r="H57">
            <v>0.3</v>
          </cell>
          <cell r="I57">
            <v>-81.80723514087299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s-Outputs"/>
      <sheetName val="CF Detail"/>
      <sheetName val="Depn-ATSV"/>
      <sheetName val="PAYBACK"/>
      <sheetName val="IRR"/>
    </sheetNames>
    <sheetDataSet>
      <sheetData sheetId="0"/>
      <sheetData sheetId="1"/>
      <sheetData sheetId="2"/>
      <sheetData sheetId="3"/>
      <sheetData sheetId="4">
        <row r="64">
          <cell r="I64">
            <v>165.04088766912309</v>
          </cell>
          <cell r="J64">
            <v>465.22137564246623</v>
          </cell>
        </row>
        <row r="65">
          <cell r="H65">
            <v>0</v>
          </cell>
          <cell r="I65">
            <v>560</v>
          </cell>
          <cell r="J65">
            <v>2700</v>
          </cell>
        </row>
        <row r="66">
          <cell r="H66">
            <v>0.02</v>
          </cell>
          <cell r="I66">
            <v>470.76643674407478</v>
          </cell>
          <cell r="J66">
            <v>2116.223583029192</v>
          </cell>
        </row>
        <row r="67">
          <cell r="H67">
            <v>0.04</v>
          </cell>
          <cell r="I67">
            <v>387.1129278292342</v>
          </cell>
          <cell r="J67">
            <v>1612.0056966346301</v>
          </cell>
        </row>
        <row r="68">
          <cell r="H68">
            <v>0.06</v>
          </cell>
          <cell r="I68">
            <v>308.55455441266577</v>
          </cell>
          <cell r="J68">
            <v>1175.2147611455002</v>
          </cell>
        </row>
        <row r="69">
          <cell r="H69">
            <v>0.08</v>
          </cell>
          <cell r="I69">
            <v>234.65923223281015</v>
          </cell>
          <cell r="J69">
            <v>795.76087656511527</v>
          </cell>
        </row>
        <row r="70">
          <cell r="H70">
            <v>0.1</v>
          </cell>
          <cell r="I70">
            <v>165.04088766912309</v>
          </cell>
          <cell r="J70">
            <v>465.22137564246623</v>
          </cell>
        </row>
        <row r="71">
          <cell r="H71">
            <v>0.12</v>
          </cell>
          <cell r="I71">
            <v>99.353642525249597</v>
          </cell>
          <cell r="J71">
            <v>176.54045701654013</v>
          </cell>
        </row>
        <row r="72">
          <cell r="H72">
            <v>0.14000000000000001</v>
          </cell>
          <cell r="I72">
            <v>37.286840899745812</v>
          </cell>
          <cell r="J72">
            <v>-76.212782159823291</v>
          </cell>
        </row>
        <row r="73">
          <cell r="H73">
            <v>0.16</v>
          </cell>
          <cell r="I73">
            <v>-21.439218251498232</v>
          </cell>
          <cell r="J73">
            <v>-298.04006726805505</v>
          </cell>
        </row>
        <row r="74">
          <cell r="H74">
            <v>0.18</v>
          </cell>
          <cell r="I74">
            <v>-77.076954968626524</v>
          </cell>
          <cell r="J74">
            <v>-493.17288527234791</v>
          </cell>
        </row>
        <row r="75">
          <cell r="H75">
            <v>0.2</v>
          </cell>
          <cell r="I75">
            <v>-129.85468106995836</v>
          </cell>
          <cell r="J75">
            <v>-665.20204618198431</v>
          </cell>
        </row>
        <row r="76">
          <cell r="H76">
            <v>0.22</v>
          </cell>
          <cell r="I76">
            <v>-179.97934850060392</v>
          </cell>
          <cell r="J76">
            <v>-817.18368556081828</v>
          </cell>
        </row>
        <row r="77">
          <cell r="H77">
            <v>0.24</v>
          </cell>
          <cell r="I77">
            <v>-227.63893697022309</v>
          </cell>
          <cell r="J77">
            <v>-951.72630021118266</v>
          </cell>
        </row>
        <row r="78">
          <cell r="H78">
            <v>0.26</v>
          </cell>
          <cell r="I78">
            <v>-273.0045340541235</v>
          </cell>
          <cell r="J78">
            <v>-1071.0624562332694</v>
          </cell>
        </row>
        <row r="79">
          <cell r="H79">
            <v>0.28000000000000003</v>
          </cell>
          <cell r="I79">
            <v>-316.23215228319168</v>
          </cell>
          <cell r="J79">
            <v>-1177.1080650505612</v>
          </cell>
        </row>
        <row r="80">
          <cell r="H80">
            <v>0.3</v>
          </cell>
          <cell r="I80">
            <v>-357.4643206308765</v>
          </cell>
          <cell r="J80">
            <v>-1271.5115402647689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5"/>
  <sheetViews>
    <sheetView topLeftCell="A13" zoomScale="115" zoomScaleNormal="115" workbookViewId="0">
      <selection activeCell="E29" sqref="E29"/>
    </sheetView>
  </sheetViews>
  <sheetFormatPr defaultColWidth="8.7109375" defaultRowHeight="15"/>
  <cols>
    <col min="1" max="1" width="4.7109375" style="1" customWidth="1"/>
    <col min="2" max="2" width="6.140625" style="1" customWidth="1"/>
    <col min="3" max="3" width="11.42578125" style="1" customWidth="1"/>
    <col min="4" max="4" width="3.140625" style="23" customWidth="1"/>
    <col min="5" max="5" width="18.140625" style="23" customWidth="1"/>
    <col min="6" max="7" width="11.140625" style="1" customWidth="1"/>
    <col min="8" max="8" width="4.140625" style="1" customWidth="1"/>
    <col min="9" max="9" width="21.140625" style="1" customWidth="1"/>
    <col min="10" max="16384" width="8.7109375" style="1"/>
  </cols>
  <sheetData>
    <row r="1" spans="2:15" ht="8.4499999999999993" customHeight="1" thickBot="1"/>
    <row r="2" spans="2:15" ht="26.45" customHeight="1" thickBot="1">
      <c r="B2" s="89" t="s">
        <v>23</v>
      </c>
      <c r="C2" s="90"/>
      <c r="D2" s="90"/>
      <c r="E2" s="90"/>
      <c r="F2" s="90"/>
      <c r="G2" s="90"/>
      <c r="H2" s="90"/>
      <c r="I2" s="90"/>
      <c r="J2" s="91"/>
    </row>
    <row r="3" spans="2:15" ht="6.95" customHeight="1" thickBot="1"/>
    <row r="4" spans="2:15" ht="20.45" customHeight="1" thickBot="1">
      <c r="B4" s="92" t="s">
        <v>22</v>
      </c>
      <c r="C4" s="94"/>
      <c r="D4" s="94"/>
      <c r="E4" s="94"/>
      <c r="F4" s="94" t="s">
        <v>1</v>
      </c>
      <c r="G4" s="93" t="s">
        <v>2</v>
      </c>
      <c r="I4" s="92" t="s">
        <v>24</v>
      </c>
      <c r="J4" s="93"/>
      <c r="M4" s="63" t="s">
        <v>84</v>
      </c>
    </row>
    <row r="5" spans="2:15" s="23" customFormat="1" ht="20.45" customHeight="1" thickBot="1">
      <c r="B5" s="64"/>
      <c r="C5" s="65"/>
      <c r="D5" s="65"/>
      <c r="E5" s="65"/>
      <c r="F5" s="65" t="s">
        <v>85</v>
      </c>
      <c r="G5" s="66" t="s">
        <v>86</v>
      </c>
      <c r="I5" s="64"/>
      <c r="J5" s="66"/>
      <c r="M5" s="63"/>
    </row>
    <row r="6" spans="2:15">
      <c r="B6" s="5" t="s">
        <v>0</v>
      </c>
      <c r="C6" s="12"/>
      <c r="D6" s="51"/>
      <c r="E6" s="51"/>
      <c r="F6" s="5">
        <v>50000</v>
      </c>
      <c r="G6" s="6">
        <v>100000</v>
      </c>
      <c r="I6" s="16" t="s">
        <v>11</v>
      </c>
      <c r="J6" s="18">
        <v>0.34</v>
      </c>
      <c r="M6" s="1">
        <v>1</v>
      </c>
      <c r="N6" s="23" t="s">
        <v>87</v>
      </c>
      <c r="O6" s="23" t="s">
        <v>27</v>
      </c>
    </row>
    <row r="7" spans="2:15" ht="15.75" thickBot="1">
      <c r="B7" s="7" t="s">
        <v>3</v>
      </c>
      <c r="C7" s="13"/>
      <c r="D7" s="52"/>
      <c r="E7" s="52"/>
      <c r="F7" s="15"/>
      <c r="G7" s="8">
        <v>8</v>
      </c>
      <c r="I7" s="17" t="s">
        <v>12</v>
      </c>
      <c r="J7" s="19">
        <v>0.12</v>
      </c>
      <c r="M7" s="1">
        <v>2</v>
      </c>
      <c r="N7" s="23" t="s">
        <v>26</v>
      </c>
      <c r="O7" s="23" t="s">
        <v>88</v>
      </c>
    </row>
    <row r="8" spans="2:15">
      <c r="B8" s="7" t="s">
        <v>4</v>
      </c>
      <c r="C8" s="13"/>
      <c r="D8" s="52"/>
      <c r="E8" s="52"/>
      <c r="F8" s="7">
        <v>2</v>
      </c>
      <c r="G8" s="9"/>
      <c r="M8" s="23">
        <v>3</v>
      </c>
      <c r="O8" s="23" t="s">
        <v>89</v>
      </c>
    </row>
    <row r="9" spans="2:15">
      <c r="B9" s="7" t="s">
        <v>5</v>
      </c>
      <c r="C9" s="13"/>
      <c r="D9" s="52"/>
      <c r="E9" s="52"/>
      <c r="F9" s="15"/>
      <c r="G9" s="8">
        <v>10000</v>
      </c>
      <c r="M9" s="23">
        <v>4</v>
      </c>
      <c r="O9" s="23" t="s">
        <v>90</v>
      </c>
    </row>
    <row r="10" spans="2:15">
      <c r="B10" s="7" t="s">
        <v>6</v>
      </c>
      <c r="C10" s="13"/>
      <c r="D10" s="52"/>
      <c r="E10" s="52"/>
      <c r="F10" s="7">
        <v>8000</v>
      </c>
      <c r="G10" s="8">
        <v>3000</v>
      </c>
      <c r="M10" s="23">
        <v>5</v>
      </c>
    </row>
    <row r="11" spans="2:15">
      <c r="B11" s="7" t="s">
        <v>7</v>
      </c>
      <c r="C11" s="13"/>
      <c r="D11" s="52"/>
      <c r="E11" s="52"/>
      <c r="F11" s="7">
        <v>35000</v>
      </c>
      <c r="G11" s="8">
        <v>55000</v>
      </c>
      <c r="M11" s="23">
        <v>6</v>
      </c>
    </row>
    <row r="12" spans="2:15">
      <c r="B12" s="7" t="s">
        <v>8</v>
      </c>
      <c r="C12" s="13"/>
      <c r="D12" s="52"/>
      <c r="E12" s="52"/>
      <c r="F12" s="7">
        <v>18000</v>
      </c>
      <c r="G12" s="8">
        <v>20000</v>
      </c>
      <c r="M12" s="23">
        <v>7</v>
      </c>
    </row>
    <row r="13" spans="2:15">
      <c r="B13" s="7" t="s">
        <v>9</v>
      </c>
      <c r="C13" s="13"/>
      <c r="D13" s="52"/>
      <c r="E13" s="52"/>
      <c r="F13" s="20" t="s">
        <v>87</v>
      </c>
      <c r="G13" s="8" t="s">
        <v>26</v>
      </c>
      <c r="M13" s="23">
        <v>8</v>
      </c>
    </row>
    <row r="14" spans="2:15">
      <c r="B14" s="7" t="s">
        <v>10</v>
      </c>
      <c r="C14" s="13"/>
      <c r="D14" s="52"/>
      <c r="E14" s="52"/>
      <c r="F14" s="20" t="s">
        <v>27</v>
      </c>
      <c r="G14" s="8" t="s">
        <v>27</v>
      </c>
      <c r="M14" s="23">
        <v>9</v>
      </c>
    </row>
    <row r="15" spans="2:15">
      <c r="B15" s="7" t="s">
        <v>13</v>
      </c>
      <c r="C15" s="13"/>
      <c r="D15" s="52"/>
      <c r="E15" s="52"/>
      <c r="F15" s="7">
        <v>30000</v>
      </c>
      <c r="G15" s="9"/>
      <c r="M15" s="23">
        <v>10</v>
      </c>
    </row>
    <row r="16" spans="2:15" ht="15.75" thickBot="1">
      <c r="B16" s="10" t="str">
        <f>"Expected Salvage Value at t="&amp;G7</f>
        <v>Expected Salvage Value at t=8</v>
      </c>
      <c r="C16" s="14"/>
      <c r="D16" s="53"/>
      <c r="E16" s="53"/>
      <c r="F16" s="10">
        <v>5000</v>
      </c>
      <c r="G16" s="11">
        <v>25000</v>
      </c>
    </row>
    <row r="17" spans="2:10" ht="15.75" thickBot="1"/>
    <row r="18" spans="2:10" ht="26.45" customHeight="1" thickBot="1">
      <c r="B18" s="89" t="s">
        <v>69</v>
      </c>
      <c r="C18" s="90"/>
      <c r="D18" s="90"/>
      <c r="E18" s="90"/>
      <c r="F18" s="90"/>
      <c r="G18" s="90"/>
      <c r="H18" s="90"/>
      <c r="I18" s="90"/>
      <c r="J18" s="91"/>
    </row>
    <row r="19" spans="2:10" ht="7.5" customHeight="1" thickBot="1">
      <c r="B19" s="55"/>
      <c r="C19" s="55"/>
      <c r="D19" s="42"/>
      <c r="E19" s="55"/>
      <c r="F19" s="55"/>
    </row>
    <row r="20" spans="2:10" ht="20.100000000000001" customHeight="1">
      <c r="B20" s="95" t="s">
        <v>71</v>
      </c>
      <c r="C20" s="95"/>
      <c r="D20" s="54"/>
      <c r="E20" s="95" t="s">
        <v>80</v>
      </c>
      <c r="F20" s="95"/>
    </row>
    <row r="21" spans="2:10" ht="17.25">
      <c r="B21" s="54" t="s">
        <v>73</v>
      </c>
      <c r="C21" s="54" t="s">
        <v>72</v>
      </c>
      <c r="D21" s="54"/>
      <c r="E21" s="23" t="s">
        <v>74</v>
      </c>
      <c r="F21" s="1">
        <f>NPV(J7,C23:C32)+C22</f>
        <v>5085.7950489031791</v>
      </c>
    </row>
    <row r="22" spans="2:10">
      <c r="B22" s="1">
        <v>0</v>
      </c>
      <c r="C22" s="1">
        <f>'CF Detail'!D8</f>
        <v>-79533.333333333328</v>
      </c>
      <c r="E22" s="23" t="s">
        <v>75</v>
      </c>
      <c r="F22" s="74">
        <f>IRR(C22:C32)</f>
        <v>0.13975475094030451</v>
      </c>
    </row>
    <row r="23" spans="2:10">
      <c r="B23" s="1">
        <v>1</v>
      </c>
      <c r="C23" s="1">
        <f>'CF Detail'!D24</f>
        <v>17545.533333333333</v>
      </c>
      <c r="E23" s="23" t="s">
        <v>76</v>
      </c>
      <c r="F23" s="102">
        <f>MIRR(C22:C32,J7,J7)</f>
        <v>0.12871148211021732</v>
      </c>
    </row>
    <row r="24" spans="2:10">
      <c r="B24" s="1">
        <v>2</v>
      </c>
      <c r="C24" s="23">
        <f>'CF Detail'!E24</f>
        <v>26993</v>
      </c>
      <c r="E24" s="23" t="s">
        <v>77</v>
      </c>
    </row>
    <row r="25" spans="2:10">
      <c r="B25" s="1">
        <v>3</v>
      </c>
      <c r="C25" s="23">
        <f>'CF Detail'!F24</f>
        <v>16915.400000000001</v>
      </c>
      <c r="E25" s="23" t="s">
        <v>78</v>
      </c>
    </row>
    <row r="26" spans="2:10">
      <c r="B26" s="1">
        <v>4</v>
      </c>
      <c r="C26" s="23">
        <f>'CF Detail'!G24</f>
        <v>14399.4</v>
      </c>
      <c r="E26" s="23" t="s">
        <v>79</v>
      </c>
      <c r="F26" s="82">
        <f>PMT(J7,LIfeNew,-F21,0)</f>
        <v>1023.7849940032552</v>
      </c>
    </row>
    <row r="27" spans="2:10">
      <c r="B27" s="23">
        <v>5</v>
      </c>
      <c r="C27" s="23">
        <f>'CF Detail'!H24</f>
        <v>11880</v>
      </c>
      <c r="E27" s="1"/>
    </row>
    <row r="28" spans="2:10">
      <c r="B28" s="23">
        <v>6</v>
      </c>
      <c r="C28" s="23">
        <f>'CF Detail'!I24</f>
        <v>11880</v>
      </c>
      <c r="E28" s="1"/>
    </row>
    <row r="29" spans="2:10">
      <c r="B29" s="23">
        <v>7</v>
      </c>
      <c r="C29" s="23">
        <f>'CF Detail'!J24</f>
        <v>11880</v>
      </c>
      <c r="E29" s="1"/>
    </row>
    <row r="30" spans="2:10">
      <c r="B30" s="23">
        <v>8</v>
      </c>
      <c r="C30" s="23">
        <f>'CF Detail'!K24</f>
        <v>20080</v>
      </c>
    </row>
    <row r="31" spans="2:10">
      <c r="B31" s="23">
        <v>9</v>
      </c>
      <c r="C31" s="23" t="str">
        <f>'CF Detail'!L24</f>
        <v/>
      </c>
    </row>
    <row r="32" spans="2:10">
      <c r="B32" s="23">
        <v>10</v>
      </c>
      <c r="C32" s="23" t="str">
        <f>'CF Detail'!M24</f>
        <v/>
      </c>
    </row>
    <row r="35" spans="13:15">
      <c r="M35" s="23">
        <f>'CF Detail'!N24</f>
        <v>0</v>
      </c>
      <c r="N35" s="23">
        <f>'CF Detail'!O24</f>
        <v>0</v>
      </c>
      <c r="O35" s="23">
        <f>'CF Detail'!P24</f>
        <v>0</v>
      </c>
    </row>
  </sheetData>
  <mergeCells count="6">
    <mergeCell ref="B2:J2"/>
    <mergeCell ref="I4:J4"/>
    <mergeCell ref="B4:G4"/>
    <mergeCell ref="B18:J18"/>
    <mergeCell ref="B20:C20"/>
    <mergeCell ref="E20:F20"/>
  </mergeCells>
  <dataValidations count="3">
    <dataValidation type="list" allowBlank="1" showInputMessage="1" showErrorMessage="1" sqref="G7">
      <formula1>$M$4:$M$15</formula1>
    </dataValidation>
    <dataValidation type="list" allowBlank="1" showInputMessage="1" showErrorMessage="1" sqref="F13:G13">
      <formula1>$N$6:$N$7</formula1>
    </dataValidation>
    <dataValidation type="list" allowBlank="1" showInputMessage="1" showErrorMessage="1" sqref="F14:G14">
      <formula1>$O$6:$O$9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25"/>
  <sheetViews>
    <sheetView topLeftCell="A13" zoomScale="130" zoomScaleNormal="130" workbookViewId="0">
      <selection activeCell="M19" sqref="M19"/>
    </sheetView>
  </sheetViews>
  <sheetFormatPr defaultColWidth="8.7109375" defaultRowHeight="15"/>
  <cols>
    <col min="1" max="1" width="3.85546875" style="1" customWidth="1"/>
    <col min="2" max="2" width="4.7109375" style="1" customWidth="1"/>
    <col min="3" max="3" width="26.5703125" style="1" customWidth="1"/>
    <col min="4" max="4" width="12" style="1" customWidth="1"/>
    <col min="5" max="13" width="9" style="1" customWidth="1"/>
    <col min="14" max="15" width="8.28515625" style="1" customWidth="1"/>
    <col min="16" max="16384" width="8.7109375" style="1"/>
  </cols>
  <sheetData>
    <row r="1" spans="2:13" ht="15.75" thickBot="1"/>
    <row r="2" spans="2:13" ht="19.5" customHeight="1" thickBot="1">
      <c r="B2" s="92" t="s">
        <v>25</v>
      </c>
      <c r="C2" s="94"/>
      <c r="D2" s="94"/>
    </row>
    <row r="3" spans="2:13">
      <c r="B3" s="2" t="s">
        <v>15</v>
      </c>
      <c r="C3" s="1" t="s">
        <v>14</v>
      </c>
      <c r="D3" s="1">
        <f>-'Inputs-Outputs'!G6</f>
        <v>-100000</v>
      </c>
    </row>
    <row r="4" spans="2:13">
      <c r="B4" s="2" t="s">
        <v>15</v>
      </c>
      <c r="C4" s="1" t="s">
        <v>5</v>
      </c>
      <c r="D4" s="1">
        <f>-'Inputs-Outputs'!G9</f>
        <v>-10000</v>
      </c>
    </row>
    <row r="5" spans="2:13">
      <c r="B5" s="2" t="s">
        <v>16</v>
      </c>
      <c r="C5" s="1" t="s">
        <v>17</v>
      </c>
      <c r="D5" s="1">
        <f>+'Inputs-Outputs'!F15</f>
        <v>30000</v>
      </c>
    </row>
    <row r="6" spans="2:13">
      <c r="B6" s="2" t="s">
        <v>18</v>
      </c>
      <c r="C6" s="1" t="s">
        <v>19</v>
      </c>
      <c r="D6" s="1">
        <f>'Depn-ATSV'!E43</f>
        <v>-4533.3333333333348</v>
      </c>
    </row>
    <row r="7" spans="2:13" ht="17.25">
      <c r="B7" s="2" t="s">
        <v>18</v>
      </c>
      <c r="C7" s="3" t="s">
        <v>20</v>
      </c>
      <c r="D7" s="3">
        <f>'Inputs-Outputs'!F10-'Inputs-Outputs'!G10</f>
        <v>5000</v>
      </c>
    </row>
    <row r="8" spans="2:13">
      <c r="C8" s="1" t="s">
        <v>21</v>
      </c>
      <c r="D8" s="1">
        <f>SUM(D3:D7)</f>
        <v>-79533.333333333328</v>
      </c>
    </row>
    <row r="9" spans="2:13" ht="6.6" customHeight="1" thickBot="1"/>
    <row r="10" spans="2:13" s="23" customFormat="1" ht="21.95" customHeight="1" thickBot="1">
      <c r="B10" s="92" t="s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</row>
    <row r="11" spans="2:13" ht="8.1" customHeight="1"/>
    <row r="12" spans="2:13" s="4" customFormat="1">
      <c r="D12" s="39">
        <v>1</v>
      </c>
      <c r="E12" s="39">
        <v>2</v>
      </c>
      <c r="F12" s="39">
        <v>3</v>
      </c>
      <c r="G12" s="39">
        <v>4</v>
      </c>
      <c r="H12" s="39">
        <v>5</v>
      </c>
      <c r="I12" s="39">
        <v>6</v>
      </c>
      <c r="J12" s="39">
        <v>7</v>
      </c>
      <c r="K12" s="39">
        <v>8</v>
      </c>
      <c r="L12" s="39">
        <v>9</v>
      </c>
      <c r="M12" s="39">
        <v>10</v>
      </c>
    </row>
    <row r="13" spans="2:13">
      <c r="C13" s="23" t="s">
        <v>47</v>
      </c>
      <c r="D13" s="1">
        <f>IF(D12&gt;LIfeNew,"",'Inputs-Outputs'!$G$11-'Inputs-Outputs'!$F$11)</f>
        <v>20000</v>
      </c>
      <c r="E13" s="23">
        <f>IF(E12&gt;LIfeNew,"",'Inputs-Outputs'!$G$11-'Inputs-Outputs'!$F$11)</f>
        <v>20000</v>
      </c>
      <c r="F13" s="23">
        <f>IF(F12&gt;LIfeNew,"",'Inputs-Outputs'!$G$11-'Inputs-Outputs'!$F$11)</f>
        <v>20000</v>
      </c>
      <c r="G13" s="23">
        <f>IF(G12&gt;LIfeNew,"",'Inputs-Outputs'!$G$11-'Inputs-Outputs'!$F$11)</f>
        <v>20000</v>
      </c>
      <c r="H13" s="23">
        <f>IF(H12&gt;LIfeNew,"",'Inputs-Outputs'!$G$11-'Inputs-Outputs'!$F$11)</f>
        <v>20000</v>
      </c>
      <c r="I13" s="23">
        <f>IF(I12&gt;LIfeNew,"",'Inputs-Outputs'!$G$11-'Inputs-Outputs'!$F$11)</f>
        <v>20000</v>
      </c>
      <c r="J13" s="23">
        <f>IF(J12&gt;LIfeNew,"",'Inputs-Outputs'!$G$11-'Inputs-Outputs'!$F$11)</f>
        <v>20000</v>
      </c>
      <c r="K13" s="23">
        <f>IF(K12&gt;LIfeNew,"",'Inputs-Outputs'!$G$11-'Inputs-Outputs'!$F$11)</f>
        <v>20000</v>
      </c>
      <c r="L13" s="23" t="str">
        <f>IF(L12&gt;LIfeNew,"",'Inputs-Outputs'!$G$11-'Inputs-Outputs'!$F$11)</f>
        <v/>
      </c>
      <c r="M13" s="23" t="str">
        <f>IF(M12&gt;LIfeNew,"",'Inputs-Outputs'!$G$11-'Inputs-Outputs'!$F$11)</f>
        <v/>
      </c>
    </row>
    <row r="14" spans="2:13">
      <c r="B14" s="2" t="s">
        <v>15</v>
      </c>
      <c r="C14" s="23" t="s">
        <v>48</v>
      </c>
      <c r="D14" s="23">
        <f>IF(D12&gt;LIfeNew,"",'Inputs-Outputs'!$F$12-'Inputs-Outputs'!$G$12)</f>
        <v>-2000</v>
      </c>
      <c r="E14" s="23">
        <f>IF(E12&gt;LIfeNew,"",'Inputs-Outputs'!$F$12-'Inputs-Outputs'!$G$12)</f>
        <v>-2000</v>
      </c>
      <c r="F14" s="23">
        <f>IF(F12&gt;LIfeNew,"",'Inputs-Outputs'!$F$12-'Inputs-Outputs'!$G$12)</f>
        <v>-2000</v>
      </c>
      <c r="G14" s="23">
        <f>IF(G12&gt;LIfeNew,"",'Inputs-Outputs'!$F$12-'Inputs-Outputs'!$G$12)</f>
        <v>-2000</v>
      </c>
      <c r="H14" s="23">
        <f>IF(H12&gt;LIfeNew,"",'Inputs-Outputs'!$F$12-'Inputs-Outputs'!$G$12)</f>
        <v>-2000</v>
      </c>
      <c r="I14" s="23">
        <f>IF(I12&gt;LIfeNew,"",'Inputs-Outputs'!$F$12-'Inputs-Outputs'!$G$12)</f>
        <v>-2000</v>
      </c>
      <c r="J14" s="23">
        <f>IF(J12&gt;LIfeNew,"",'Inputs-Outputs'!$F$12-'Inputs-Outputs'!$G$12)</f>
        <v>-2000</v>
      </c>
      <c r="K14" s="23">
        <f>IF(K12&gt;LIfeNew,"",'Inputs-Outputs'!$F$12-'Inputs-Outputs'!$G$12)</f>
        <v>-2000</v>
      </c>
      <c r="L14" s="23" t="str">
        <f>IF(L12&gt;LIfeNew,"",'Inputs-Outputs'!$F$12-'Inputs-Outputs'!$G$12)</f>
        <v/>
      </c>
      <c r="M14" s="23" t="str">
        <f>IF(M12&gt;LIfeNew,"",'Inputs-Outputs'!$F$12-'Inputs-Outputs'!$G$12)</f>
        <v/>
      </c>
    </row>
    <row r="15" spans="2:13" ht="17.25">
      <c r="B15" s="2" t="s">
        <v>15</v>
      </c>
      <c r="C15" s="24" t="s">
        <v>49</v>
      </c>
      <c r="D15" s="24">
        <f>IF(D12&gt;LIfeNew,"",-'Depn-ATSV'!C32)</f>
        <v>-16663.333333333332</v>
      </c>
      <c r="E15" s="24">
        <f>IF(E12&gt;LIfeNew,"",-'Depn-ATSV'!D32)</f>
        <v>-44450</v>
      </c>
      <c r="F15" s="24">
        <f>IF(F12&gt;LIfeNew,"",-'Depn-ATSV'!E32)</f>
        <v>-14810.000000000002</v>
      </c>
      <c r="G15" s="24">
        <f>IF(G12&gt;LIfeNew,"",-'Depn-ATSV'!F32)</f>
        <v>-7410</v>
      </c>
      <c r="H15" s="24">
        <f>IF(H12&gt;LIfeNew,"",-'Depn-ATSV'!G32)</f>
        <v>0</v>
      </c>
      <c r="I15" s="24">
        <f>IF(I12&gt;LIfeNew,"",-'Depn-ATSV'!H32)</f>
        <v>0</v>
      </c>
      <c r="J15" s="24">
        <f>IF(J12&gt;LIfeNew,"",-'Depn-ATSV'!I32)</f>
        <v>0</v>
      </c>
      <c r="K15" s="24">
        <f>IF(K12&gt;LIfeNew,"",-'Depn-ATSV'!J32)</f>
        <v>0</v>
      </c>
      <c r="L15" s="24" t="str">
        <f>IF(L12&gt;LIfeNew,"",-'Depn-ATSV'!K32)</f>
        <v/>
      </c>
      <c r="M15" s="24" t="str">
        <f>IF(M12&gt;LIfeNew,"",-'Depn-ATSV'!L32)</f>
        <v/>
      </c>
    </row>
    <row r="16" spans="2:13">
      <c r="C16" s="23" t="s">
        <v>50</v>
      </c>
      <c r="D16" s="23">
        <f>IF(D12&gt;LIfeNew,"",SUM(D13:D15))</f>
        <v>1336.6666666666679</v>
      </c>
      <c r="E16" s="23">
        <f>IF(E12&gt;LIfeNew,"",SUM(E13:E15))</f>
        <v>-26450</v>
      </c>
      <c r="F16" s="23">
        <f>IF(F12&gt;LIfeNew,"",SUM(F13:F15))</f>
        <v>3189.9999999999982</v>
      </c>
      <c r="G16" s="23">
        <f>IF(G12&gt;LIfeNew,"",SUM(G13:G15))</f>
        <v>10590</v>
      </c>
      <c r="H16" s="23">
        <f>IF(H12&gt;LIfeNew,"",SUM(H13:H15))</f>
        <v>18000</v>
      </c>
      <c r="I16" s="23">
        <f>IF(I12&gt;LIfeNew,"",SUM(I13:I15))</f>
        <v>18000</v>
      </c>
      <c r="J16" s="23">
        <f>IF(J12&gt;LIfeNew,"",SUM(J13:J15))</f>
        <v>18000</v>
      </c>
      <c r="K16" s="23">
        <f>IF(K12&gt;LIfeNew,"",SUM(K13:K15))</f>
        <v>18000</v>
      </c>
      <c r="L16" s="23" t="str">
        <f>IF(L12&gt;LIfeNew,"",SUM(L13:L15))</f>
        <v/>
      </c>
      <c r="M16" s="23" t="str">
        <f>IF(M12&gt;LIfeNew,"",SUM(M13:M15))</f>
        <v/>
      </c>
    </row>
    <row r="17" spans="2:13" ht="17.25">
      <c r="B17" s="2" t="s">
        <v>15</v>
      </c>
      <c r="C17" s="24" t="s">
        <v>51</v>
      </c>
      <c r="D17" s="24">
        <f>IF(D12&gt;LIfeNew,"",-'Inputs-Outputs'!$J$6*'CF Detail'!D16)</f>
        <v>-454.46666666666709</v>
      </c>
      <c r="E17" s="24">
        <f>IF(E12&gt;LIfeNew,"",-'Inputs-Outputs'!$J$6*'CF Detail'!E16)</f>
        <v>8993</v>
      </c>
      <c r="F17" s="24">
        <f>IF(F12&gt;LIfeNew,"",-'Inputs-Outputs'!$J$6*'CF Detail'!F16)</f>
        <v>-1084.5999999999995</v>
      </c>
      <c r="G17" s="24">
        <f>IF(G12&gt;LIfeNew,"",-'Inputs-Outputs'!$J$6*'CF Detail'!G16)</f>
        <v>-3600.6000000000004</v>
      </c>
      <c r="H17" s="24">
        <f>IF(H12&gt;LIfeNew,"",-'Inputs-Outputs'!$J$6*'CF Detail'!H16)</f>
        <v>-6120</v>
      </c>
      <c r="I17" s="24">
        <f>IF(I12&gt;LIfeNew,"",-'Inputs-Outputs'!$J$6*'CF Detail'!I16)</f>
        <v>-6120</v>
      </c>
      <c r="J17" s="24">
        <f>IF(J12&gt;LIfeNew,"",-'Inputs-Outputs'!$J$6*'CF Detail'!J16)</f>
        <v>-6120</v>
      </c>
      <c r="K17" s="24">
        <f>IF(K12&gt;LIfeNew,"",-'Inputs-Outputs'!$J$6*'CF Detail'!K16)</f>
        <v>-6120</v>
      </c>
      <c r="L17" s="24" t="str">
        <f>IF(L12&gt;LIfeNew,"",-'Inputs-Outputs'!$J$6*'CF Detail'!L16)</f>
        <v/>
      </c>
      <c r="M17" s="24" t="str">
        <f>IF(M12&gt;LIfeNew,"",-'Inputs-Outputs'!$J$6*'CF Detail'!M16)</f>
        <v/>
      </c>
    </row>
    <row r="18" spans="2:13">
      <c r="C18" s="23" t="s">
        <v>52</v>
      </c>
      <c r="D18" s="23">
        <f>IF(D12&gt;LIfeNew,"",SUM(D16:D17))</f>
        <v>882.20000000000073</v>
      </c>
      <c r="E18" s="23">
        <f>IF(E12&gt;LIfeNew,"",SUM(E16:E17))</f>
        <v>-17457</v>
      </c>
      <c r="F18" s="23">
        <f>IF(F12&gt;LIfeNew,"",SUM(F16:F17))</f>
        <v>2105.3999999999987</v>
      </c>
      <c r="G18" s="23">
        <f>IF(G12&gt;LIfeNew,"",SUM(G16:G17))</f>
        <v>6989.4</v>
      </c>
      <c r="H18" s="23">
        <f>IF(H12&gt;LIfeNew,"",SUM(H16:H17))</f>
        <v>11880</v>
      </c>
      <c r="I18" s="23">
        <f>IF(I12&gt;LIfeNew,"",SUM(I16:I17))</f>
        <v>11880</v>
      </c>
      <c r="J18" s="23">
        <f>IF(J12&gt;LIfeNew,"",SUM(J16:J17))</f>
        <v>11880</v>
      </c>
      <c r="K18" s="23">
        <f>IF(K12&gt;LIfeNew,"",SUM(K16:K17))</f>
        <v>11880</v>
      </c>
      <c r="L18" s="23" t="str">
        <f>IF(L12&gt;LIfeNew,"",SUM(L16:L17))</f>
        <v/>
      </c>
      <c r="M18" s="23" t="str">
        <f>IF(M12&gt;LIfeNew,"",SUM(M16:M17))</f>
        <v/>
      </c>
    </row>
    <row r="19" spans="2:13" ht="17.25">
      <c r="C19" s="24" t="s">
        <v>53</v>
      </c>
      <c r="D19" s="24">
        <f>IF(D12&gt;LIfeNew,"",-D15)</f>
        <v>16663.333333333332</v>
      </c>
      <c r="E19" s="24">
        <f>IF(E12&gt;LIfeNew,"",-E15)</f>
        <v>44450</v>
      </c>
      <c r="F19" s="24">
        <f>IF(F12&gt;LIfeNew,"",-F15)</f>
        <v>14810.000000000002</v>
      </c>
      <c r="G19" s="24">
        <f>IF(G12&gt;LIfeNew,"",-G15)</f>
        <v>7410</v>
      </c>
      <c r="H19" s="24">
        <f>IF(H12&gt;LIfeNew,"",-H15)</f>
        <v>0</v>
      </c>
      <c r="I19" s="24">
        <f>IF(I12&gt;LIfeNew,"",-I15)</f>
        <v>0</v>
      </c>
      <c r="J19" s="24">
        <f>IF(J12&gt;LIfeNew,"",-J15)</f>
        <v>0</v>
      </c>
      <c r="K19" s="24">
        <f>IF(K12&gt;LIfeNew,"",-K15)</f>
        <v>0</v>
      </c>
      <c r="L19" s="24" t="str">
        <f>IF(L12&gt;LIfeNew,"",-L15)</f>
        <v/>
      </c>
      <c r="M19" s="24" t="str">
        <f>IF(M12&gt;LIfeNew,"",-M15)</f>
        <v/>
      </c>
    </row>
    <row r="20" spans="2:13">
      <c r="C20" s="23" t="s">
        <v>59</v>
      </c>
      <c r="D20" s="23">
        <f>IF(D12&gt;LIfeNew,"",SUM(D18:D19))</f>
        <v>17545.533333333333</v>
      </c>
      <c r="E20" s="23">
        <f>IF(E12&gt;LIfeNew,"",SUM(E18:E19))</f>
        <v>26993</v>
      </c>
      <c r="F20" s="23">
        <f>IF(F12&gt;LIfeNew,"",SUM(F18:F19))</f>
        <v>16915.400000000001</v>
      </c>
      <c r="G20" s="23">
        <f>IF(G12&gt;LIfeNew,"",SUM(G18:G19))</f>
        <v>14399.4</v>
      </c>
      <c r="H20" s="23">
        <f>IF(H12&gt;LIfeNew,"",SUM(H18:H19))</f>
        <v>11880</v>
      </c>
      <c r="I20" s="23">
        <f>IF(I12&gt;LIfeNew,"",SUM(I18:I19))</f>
        <v>11880</v>
      </c>
      <c r="J20" s="23">
        <f>IF(J12&gt;LIfeNew,"",SUM(J18:J19))</f>
        <v>11880</v>
      </c>
      <c r="K20" s="23">
        <f>IF(K12&gt;LIfeNew,"",SUM(K18:K19))</f>
        <v>11880</v>
      </c>
      <c r="L20" s="23" t="str">
        <f>IF(L12&gt;LIfeNew,"",SUM(L18:L19))</f>
        <v/>
      </c>
      <c r="M20" s="23" t="str">
        <f>IF(M12&gt;LIfeNew,"",SUM(M18:M19))</f>
        <v/>
      </c>
    </row>
    <row r="21" spans="2:13" ht="6.6" customHeight="1"/>
    <row r="22" spans="2:13">
      <c r="C22" s="23" t="s">
        <v>58</v>
      </c>
      <c r="D22" s="63">
        <f>IF(D12&lt;LIfeNew,0,IF(D12=LIfeNew,-$D$7,""))</f>
        <v>0</v>
      </c>
      <c r="E22" s="23">
        <f>IF(E12&lt;LIfeNew,0,IF(E12=LIfeNew,-$D$7,""))</f>
        <v>0</v>
      </c>
      <c r="F22" s="23">
        <f>IF(F12&lt;LIfeNew,0,IF(F12=LIfeNew,-$D$7,""))</f>
        <v>0</v>
      </c>
      <c r="G22" s="23">
        <f>IF(G12&lt;LIfeNew,0,IF(G12=LIfeNew,-$D$7,""))</f>
        <v>0</v>
      </c>
      <c r="H22" s="23">
        <f>IF(H12&lt;LIfeNew,0,IF(H12=LIfeNew,-$D$7,""))</f>
        <v>0</v>
      </c>
      <c r="I22" s="23">
        <f>IF(I12&lt;LIfeNew,0,IF(I12=LIfeNew,-$D$7,""))</f>
        <v>0</v>
      </c>
      <c r="J22" s="23">
        <f>IF(J12&lt;LIfeNew,0,IF(J12=LIfeNew,-$D$7,""))</f>
        <v>0</v>
      </c>
      <c r="K22" s="23">
        <f>IF(K12&lt;LIfeNew,0,IF(K12=LIfeNew,-$D$7,""))</f>
        <v>-5000</v>
      </c>
      <c r="L22" s="23" t="str">
        <f>IF(L12&lt;LIfeNew,0,IF(L12=LIfeNew,-$D$7,""))</f>
        <v/>
      </c>
      <c r="M22" s="23" t="str">
        <f>IF(M12&lt;LIfeNew,0,IF(M12=LIfeNew,-$D$7,""))</f>
        <v/>
      </c>
    </row>
    <row r="23" spans="2:13" ht="17.25">
      <c r="C23" s="24" t="s">
        <v>60</v>
      </c>
      <c r="D23" s="101">
        <f>IF(D12&lt;LIfeNew,0,IF(D12=LIfeNew,'Depn-ATSV'!$K$62,""))</f>
        <v>0</v>
      </c>
      <c r="E23" s="101">
        <f>IF(E12&lt;LIfeNew,0,IF(E12=LIfeNew,'Depn-ATSV'!$K$62,""))</f>
        <v>0</v>
      </c>
      <c r="F23" s="101">
        <f>IF(F12&lt;LIfeNew,0,IF(F12=LIfeNew,'Depn-ATSV'!$K$62,""))</f>
        <v>0</v>
      </c>
      <c r="G23" s="101">
        <f>IF(G12&lt;LIfeNew,0,IF(G12=LIfeNew,'Depn-ATSV'!$K$62,""))</f>
        <v>0</v>
      </c>
      <c r="H23" s="101">
        <f>IF(H12&lt;LIfeNew,0,IF(H12=LIfeNew,'Depn-ATSV'!$K$62,""))</f>
        <v>0</v>
      </c>
      <c r="I23" s="101">
        <f>IF(I12&lt;LIfeNew,0,IF(I12=LIfeNew,'Depn-ATSV'!$K$62,""))</f>
        <v>0</v>
      </c>
      <c r="J23" s="101">
        <f>IF(J12&lt;LIfeNew,0,IF(J12=LIfeNew,'Depn-ATSV'!$K$62,""))</f>
        <v>0</v>
      </c>
      <c r="K23" s="101">
        <f>IF(K12&lt;LIfeNew,0,IF(K12=LIfeNew,'Depn-ATSV'!$K$62,""))</f>
        <v>13200</v>
      </c>
      <c r="L23" s="101" t="str">
        <f>IF(L12&lt;LIfeNew,0,IF(L12=LIfeNew,'Depn-ATSV'!$K$62,""))</f>
        <v/>
      </c>
      <c r="M23" s="101" t="str">
        <f>IF(M12&lt;LIfeNew,0,IF(M12=LIfeNew,'Depn-ATSV'!$K$62,""))</f>
        <v/>
      </c>
    </row>
    <row r="24" spans="2:13">
      <c r="C24" s="23" t="s">
        <v>68</v>
      </c>
      <c r="D24" s="1">
        <f>IF(D12&gt;LIfeNew,"",SUM(D20:D23))</f>
        <v>17545.533333333333</v>
      </c>
      <c r="E24" s="23">
        <f>IF(E12&gt;LIfeNew,"",SUM(E20:E23))</f>
        <v>26993</v>
      </c>
      <c r="F24" s="23">
        <f>IF(F12&gt;LIfeNew,"",SUM(F20:F23))</f>
        <v>16915.400000000001</v>
      </c>
      <c r="G24" s="23">
        <f>IF(G12&gt;LIfeNew,"",SUM(G20:G23))</f>
        <v>14399.4</v>
      </c>
      <c r="H24" s="23">
        <f>IF(H12&gt;LIfeNew,"",SUM(H20:H23))</f>
        <v>11880</v>
      </c>
      <c r="I24" s="23">
        <f>IF(I12&gt;LIfeNew,"",SUM(I20:I23))</f>
        <v>11880</v>
      </c>
      <c r="J24" s="23">
        <f>IF(J12&gt;LIfeNew,"",SUM(J20:J23))</f>
        <v>11880</v>
      </c>
      <c r="K24" s="23">
        <f>IF(K12&gt;LIfeNew,"",SUM(K20:K23))</f>
        <v>20080</v>
      </c>
      <c r="L24" s="23" t="str">
        <f>IF(L12&gt;LIfeNew,"",SUM(L20:L23))</f>
        <v/>
      </c>
      <c r="M24" s="23" t="str">
        <f>IF(M12&gt;LIfeNew,"",SUM(M20:M23))</f>
        <v/>
      </c>
    </row>
    <row r="25" spans="2:13" ht="6.6" customHeight="1" thickBo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2">
    <mergeCell ref="B2:D2"/>
    <mergeCell ref="B10:M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2"/>
  <sheetViews>
    <sheetView topLeftCell="A27" workbookViewId="0">
      <pane ySplit="2100" topLeftCell="A53" activePane="bottomLeft"/>
      <selection activeCell="A31" sqref="A31"/>
      <selection pane="bottomLeft" activeCell="K63" sqref="K63"/>
    </sheetView>
  </sheetViews>
  <sheetFormatPr defaultRowHeight="15"/>
  <cols>
    <col min="1" max="1" width="8.7109375" style="43"/>
    <col min="2" max="2" width="13.5703125" customWidth="1"/>
    <col min="3" max="4" width="9.5703125" customWidth="1"/>
    <col min="5" max="5" width="12.140625" customWidth="1"/>
    <col min="6" max="9" width="9.5703125" customWidth="1"/>
    <col min="11" max="11" width="9.85546875" bestFit="1" customWidth="1"/>
    <col min="13" max="13" width="10.140625" customWidth="1"/>
    <col min="15" max="15" width="10.85546875" customWidth="1"/>
    <col min="17" max="17" width="9.140625" style="22"/>
    <col min="18" max="25" width="12.42578125" customWidth="1"/>
  </cols>
  <sheetData>
    <row r="1" spans="1:7">
      <c r="B1" s="22"/>
      <c r="C1" s="22"/>
      <c r="D1" s="22"/>
      <c r="E1" s="22"/>
      <c r="F1" s="22"/>
      <c r="G1" s="22"/>
    </row>
    <row r="2" spans="1:7" ht="19.5" thickBot="1">
      <c r="B2" s="96" t="s">
        <v>33</v>
      </c>
      <c r="C2" s="96"/>
      <c r="D2" s="96"/>
      <c r="E2" s="96"/>
      <c r="F2" s="96"/>
      <c r="G2" s="22"/>
    </row>
    <row r="3" spans="1:7" ht="15.75" thickBot="1">
      <c r="B3" s="34" t="s">
        <v>28</v>
      </c>
      <c r="C3" s="35" t="s">
        <v>29</v>
      </c>
      <c r="D3" s="35" t="s">
        <v>30</v>
      </c>
      <c r="E3" s="35" t="s">
        <v>31</v>
      </c>
      <c r="F3" s="36" t="s">
        <v>32</v>
      </c>
      <c r="G3" s="22"/>
    </row>
    <row r="4" spans="1:7">
      <c r="B4" s="31">
        <v>1</v>
      </c>
      <c r="C4" s="32">
        <v>0.33329999999999999</v>
      </c>
      <c r="D4" s="32">
        <v>0.2</v>
      </c>
      <c r="E4" s="32">
        <v>0.1429</v>
      </c>
      <c r="F4" s="33">
        <v>0.1</v>
      </c>
      <c r="G4" s="22"/>
    </row>
    <row r="5" spans="1:7">
      <c r="B5" s="27">
        <v>2</v>
      </c>
      <c r="C5" s="26">
        <v>0.44450000000000001</v>
      </c>
      <c r="D5" s="26">
        <v>0.32</v>
      </c>
      <c r="E5" s="26">
        <v>0.24490000000000001</v>
      </c>
      <c r="F5" s="28">
        <v>0.18</v>
      </c>
      <c r="G5" s="22"/>
    </row>
    <row r="6" spans="1:7">
      <c r="B6" s="27">
        <v>3</v>
      </c>
      <c r="C6" s="26">
        <v>0.14810000000000001</v>
      </c>
      <c r="D6" s="26">
        <v>0.192</v>
      </c>
      <c r="E6" s="26">
        <v>0.1749</v>
      </c>
      <c r="F6" s="28">
        <v>0.14399999999999999</v>
      </c>
      <c r="G6" s="22"/>
    </row>
    <row r="7" spans="1:7">
      <c r="B7" s="27">
        <v>4</v>
      </c>
      <c r="C7" s="26">
        <v>7.4099999999999999E-2</v>
      </c>
      <c r="D7" s="26">
        <v>0.1152</v>
      </c>
      <c r="E7" s="26">
        <v>0.1249</v>
      </c>
      <c r="F7" s="28">
        <v>0.1152</v>
      </c>
      <c r="G7" s="22"/>
    </row>
    <row r="8" spans="1:7">
      <c r="B8" s="27">
        <v>5</v>
      </c>
      <c r="C8" s="37"/>
      <c r="D8" s="26">
        <v>0.1152</v>
      </c>
      <c r="E8" s="26">
        <v>8.9300000000000004E-2</v>
      </c>
      <c r="F8" s="28">
        <v>9.2200000000000004E-2</v>
      </c>
      <c r="G8" s="22"/>
    </row>
    <row r="9" spans="1:7">
      <c r="B9" s="27">
        <v>6</v>
      </c>
      <c r="C9" s="37"/>
      <c r="D9" s="26">
        <v>5.7599999999999998E-2</v>
      </c>
      <c r="E9" s="26">
        <v>8.9200000000000002E-2</v>
      </c>
      <c r="F9" s="28">
        <v>7.3700000000000002E-2</v>
      </c>
      <c r="G9" s="22"/>
    </row>
    <row r="10" spans="1:7">
      <c r="B10" s="27">
        <v>7</v>
      </c>
      <c r="C10" s="37"/>
      <c r="D10" s="37"/>
      <c r="E10" s="26">
        <v>8.9300000000000004E-2</v>
      </c>
      <c r="F10" s="28">
        <v>6.5500000000000003E-2</v>
      </c>
      <c r="G10" s="22"/>
    </row>
    <row r="11" spans="1:7">
      <c r="B11" s="27">
        <v>8</v>
      </c>
      <c r="C11" s="37"/>
      <c r="D11" s="37"/>
      <c r="E11" s="26">
        <v>4.4600000000000001E-2</v>
      </c>
      <c r="F11" s="28">
        <v>6.5500000000000003E-2</v>
      </c>
      <c r="G11" s="22"/>
    </row>
    <row r="12" spans="1:7">
      <c r="B12" s="27">
        <v>9</v>
      </c>
      <c r="C12" s="37"/>
      <c r="D12" s="37"/>
      <c r="E12" s="37"/>
      <c r="F12" s="28">
        <v>6.5600000000000006E-2</v>
      </c>
      <c r="G12" s="22"/>
    </row>
    <row r="13" spans="1:7">
      <c r="B13" s="27">
        <v>10</v>
      </c>
      <c r="C13" s="37"/>
      <c r="D13" s="37"/>
      <c r="E13" s="37"/>
      <c r="F13" s="28">
        <v>6.5500000000000003E-2</v>
      </c>
      <c r="G13" s="22"/>
    </row>
    <row r="14" spans="1:7" ht="15.75" thickBot="1">
      <c r="B14" s="29">
        <v>11</v>
      </c>
      <c r="C14" s="38"/>
      <c r="D14" s="38"/>
      <c r="E14" s="38"/>
      <c r="F14" s="30">
        <v>3.2800000000000003E-2</v>
      </c>
      <c r="G14" s="22"/>
    </row>
    <row r="16" spans="1:7" s="22" customFormat="1" ht="15.75" thickBot="1">
      <c r="A16" s="43"/>
      <c r="B16" s="98" t="s">
        <v>81</v>
      </c>
      <c r="C16" s="98"/>
      <c r="D16" s="98"/>
      <c r="E16" s="98"/>
      <c r="F16" s="98"/>
      <c r="G16" s="98"/>
    </row>
    <row r="17" spans="1:27" s="22" customFormat="1">
      <c r="A17" s="43"/>
      <c r="B17" s="56" t="s">
        <v>34</v>
      </c>
      <c r="C17" s="56"/>
      <c r="D17" s="56"/>
      <c r="E17" s="56"/>
      <c r="F17" s="56" t="s">
        <v>56</v>
      </c>
      <c r="T17" s="22" t="s">
        <v>87</v>
      </c>
      <c r="U17" s="22" t="s">
        <v>26</v>
      </c>
    </row>
    <row r="18" spans="1:27" s="22" customFormat="1" ht="5.45" customHeight="1">
      <c r="A18" s="43"/>
    </row>
    <row r="19" spans="1:27" s="22" customFormat="1">
      <c r="A19" s="43"/>
      <c r="B19" s="57" t="s">
        <v>35</v>
      </c>
      <c r="C19" s="23">
        <f>'Inputs-Outputs'!F6</f>
        <v>50000</v>
      </c>
      <c r="F19" s="57" t="s">
        <v>35</v>
      </c>
      <c r="G19" s="23">
        <f>'Inputs-Outputs'!G6</f>
        <v>100000</v>
      </c>
      <c r="S19" s="22" t="s">
        <v>27</v>
      </c>
      <c r="T19" s="22">
        <v>3</v>
      </c>
      <c r="U19" s="22">
        <v>2</v>
      </c>
    </row>
    <row r="20" spans="1:27" s="22" customFormat="1">
      <c r="A20" s="43"/>
      <c r="B20" s="57" t="s">
        <v>36</v>
      </c>
      <c r="C20" s="23" t="str">
        <f>'Inputs-Outputs'!F13</f>
        <v>SL</v>
      </c>
      <c r="F20" s="57" t="s">
        <v>36</v>
      </c>
      <c r="G20" s="23" t="str">
        <f>'Inputs-Outputs'!G13</f>
        <v>MACRS</v>
      </c>
      <c r="S20" s="22" t="s">
        <v>88</v>
      </c>
      <c r="T20" s="22">
        <v>5</v>
      </c>
      <c r="U20" s="22">
        <v>3</v>
      </c>
    </row>
    <row r="21" spans="1:27" s="22" customFormat="1">
      <c r="A21" s="43"/>
      <c r="B21" s="57" t="s">
        <v>37</v>
      </c>
      <c r="C21" s="23" t="str">
        <f>'Inputs-Outputs'!F14</f>
        <v>3-Year</v>
      </c>
      <c r="F21" s="57" t="s">
        <v>37</v>
      </c>
      <c r="G21" s="23" t="str">
        <f>'Inputs-Outputs'!G14</f>
        <v>3-Year</v>
      </c>
      <c r="S21" s="22" t="s">
        <v>89</v>
      </c>
      <c r="T21" s="22">
        <v>7</v>
      </c>
      <c r="U21" s="22">
        <v>4</v>
      </c>
    </row>
    <row r="22" spans="1:27" s="22" customFormat="1" ht="15.75" thickBot="1">
      <c r="A22" s="43"/>
      <c r="B22" s="58" t="s">
        <v>38</v>
      </c>
      <c r="C22" s="25">
        <f>'Inputs-Outputs'!F8</f>
        <v>2</v>
      </c>
      <c r="D22" s="41"/>
      <c r="E22" s="41"/>
      <c r="F22" s="41"/>
      <c r="G22" s="25"/>
      <c r="S22" s="22" t="s">
        <v>90</v>
      </c>
      <c r="T22" s="22">
        <v>10</v>
      </c>
      <c r="U22" s="22">
        <v>5</v>
      </c>
    </row>
    <row r="23" spans="1:27" s="22" customFormat="1">
      <c r="A23" s="43"/>
    </row>
    <row r="24" spans="1:27">
      <c r="A24" s="46"/>
      <c r="B24" s="62" t="s">
        <v>82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R24">
        <v>1</v>
      </c>
      <c r="S24">
        <v>2</v>
      </c>
      <c r="T24">
        <v>3</v>
      </c>
      <c r="U24">
        <v>4</v>
      </c>
      <c r="V24">
        <v>5</v>
      </c>
      <c r="W24">
        <v>6</v>
      </c>
      <c r="X24">
        <v>7</v>
      </c>
      <c r="Y24">
        <v>8</v>
      </c>
      <c r="Z24">
        <v>9</v>
      </c>
      <c r="AA24">
        <v>10</v>
      </c>
    </row>
    <row r="25" spans="1:27">
      <c r="A25" s="48"/>
      <c r="B25" s="59" t="s">
        <v>28</v>
      </c>
      <c r="C25" s="47">
        <v>1</v>
      </c>
      <c r="D25" s="47">
        <v>2</v>
      </c>
      <c r="E25" s="47">
        <v>3</v>
      </c>
      <c r="F25" s="47">
        <v>4</v>
      </c>
      <c r="G25" s="47">
        <v>5</v>
      </c>
      <c r="H25" s="47">
        <v>6</v>
      </c>
      <c r="I25" s="47">
        <v>7</v>
      </c>
      <c r="J25" s="47">
        <v>8</v>
      </c>
      <c r="K25" s="47">
        <v>9</v>
      </c>
      <c r="L25" s="47">
        <v>10</v>
      </c>
      <c r="M25" s="47" t="s">
        <v>46</v>
      </c>
      <c r="N25" s="47"/>
      <c r="O25" s="47" t="s">
        <v>91</v>
      </c>
      <c r="P25" s="22" t="s">
        <v>87</v>
      </c>
      <c r="Q25" s="69">
        <f>VLOOKUP(C21,S19:T22,2,FALSE)</f>
        <v>3</v>
      </c>
      <c r="R25" s="100">
        <f>IF(R24&gt;$C$22,0,$C$19/$Q$25)</f>
        <v>16666.666666666668</v>
      </c>
      <c r="S25" s="67">
        <f t="shared" ref="S25:AA25" si="0">IF(S24&gt;$C$22,0,$C$19/$Q$25)</f>
        <v>16666.666666666668</v>
      </c>
      <c r="T25" s="67">
        <f t="shared" si="0"/>
        <v>0</v>
      </c>
      <c r="U25" s="67">
        <f t="shared" si="0"/>
        <v>0</v>
      </c>
      <c r="V25" s="67">
        <f t="shared" si="0"/>
        <v>0</v>
      </c>
      <c r="W25" s="67">
        <f t="shared" si="0"/>
        <v>0</v>
      </c>
      <c r="X25" s="67">
        <f t="shared" si="0"/>
        <v>0</v>
      </c>
      <c r="Y25" s="67">
        <f t="shared" si="0"/>
        <v>0</v>
      </c>
      <c r="Z25" s="67">
        <f t="shared" si="0"/>
        <v>0</v>
      </c>
      <c r="AA25" s="67">
        <f t="shared" si="0"/>
        <v>0</v>
      </c>
    </row>
    <row r="26" spans="1:27" s="22" customFormat="1">
      <c r="A26" s="48"/>
      <c r="B26" s="47"/>
      <c r="C26" s="49">
        <f>IF($C$20="SL",R25,R26)</f>
        <v>16666.666666666668</v>
      </c>
      <c r="D26" s="49">
        <f t="shared" ref="D26:L26" si="1">IF($C$20="SL",S25,S26)</f>
        <v>16666.666666666668</v>
      </c>
      <c r="E26" s="49">
        <f t="shared" si="1"/>
        <v>0</v>
      </c>
      <c r="F26" s="49">
        <f t="shared" si="1"/>
        <v>0</v>
      </c>
      <c r="G26" s="49">
        <f t="shared" si="1"/>
        <v>0</v>
      </c>
      <c r="H26" s="49">
        <f t="shared" si="1"/>
        <v>0</v>
      </c>
      <c r="I26" s="49">
        <f t="shared" si="1"/>
        <v>0</v>
      </c>
      <c r="J26" s="49">
        <f t="shared" si="1"/>
        <v>0</v>
      </c>
      <c r="K26" s="49">
        <f t="shared" si="1"/>
        <v>0</v>
      </c>
      <c r="L26" s="49">
        <f t="shared" si="1"/>
        <v>0</v>
      </c>
      <c r="M26" s="23">
        <f>SUM(C26:L26)</f>
        <v>33333.333333333336</v>
      </c>
      <c r="N26" s="49"/>
      <c r="P26" s="47" t="s">
        <v>26</v>
      </c>
      <c r="Q26" s="70">
        <f>VLOOKUP($C$21,S19:U22,3,FALSE)</f>
        <v>2</v>
      </c>
      <c r="R26" s="63">
        <f>IF(R24&gt;$C$22,0,VLOOKUP(R24,$B$4:I21,$Q$26,FALSE)*$C$19)</f>
        <v>16665</v>
      </c>
      <c r="S26" s="23">
        <f>IF(S24&gt;$C$22,0,VLOOKUP(S24,$B$4:J21,$Q$26,FALSE)*$C$19)</f>
        <v>22225</v>
      </c>
      <c r="T26" s="23">
        <f>IF(T24&gt;$C$22,0,VLOOKUP(T24,$B$4:K21,$Q$26,FALSE)*$C$19)</f>
        <v>0</v>
      </c>
      <c r="U26" s="23">
        <f>IF(U24&gt;$C$22,0,VLOOKUP(U24,$B$4:L21,$Q$26,FALSE)*$C$19)</f>
        <v>0</v>
      </c>
      <c r="V26" s="23">
        <f>IF(V24&gt;$C$22,0,VLOOKUP(V24,$B$4:M21,$Q$26,FALSE)*$C$19)</f>
        <v>0</v>
      </c>
      <c r="W26" s="23">
        <f>IF(W24&gt;$C$22,0,VLOOKUP(W24,$B$4:N21,$Q$26,FALSE)*$C$19)</f>
        <v>0</v>
      </c>
      <c r="X26" s="23">
        <f>IF(X24&gt;$C$22,0,VLOOKUP(X24,$B$4:O21,$Q$26,FALSE)*$C$19)</f>
        <v>0</v>
      </c>
      <c r="Y26" s="23">
        <f>IF(Y24&gt;$C$22,0,VLOOKUP(Y24,$B$4:P21,$Q$26,FALSE)*$C$19)</f>
        <v>0</v>
      </c>
      <c r="Z26" s="23">
        <f>IF(Z24&gt;$C$22,0,VLOOKUP(Z24,$B$4:Q21,$Q$26,FALSE)*$C$19)</f>
        <v>0</v>
      </c>
      <c r="AA26" s="23">
        <f>IF(AA24&gt;$C$22,0,VLOOKUP(AA24,$B$4:R21,$Q$26,FALSE)*$C$19)</f>
        <v>0</v>
      </c>
    </row>
    <row r="27" spans="1:27" s="22" customFormat="1">
      <c r="A27" s="48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27" s="22" customFormat="1">
      <c r="A28" s="43"/>
      <c r="B28" s="56" t="s">
        <v>83</v>
      </c>
      <c r="O28" s="22" t="s">
        <v>2</v>
      </c>
      <c r="P28" s="22" t="s">
        <v>87</v>
      </c>
      <c r="Q28" s="69">
        <f>VLOOKUP(C21,S19:T22,2,FALSE)</f>
        <v>3</v>
      </c>
      <c r="R28" s="67">
        <f>IF(R24&gt;$Q$28,0,$G$19/$Q$28)</f>
        <v>33333.333333333336</v>
      </c>
      <c r="S28" s="67">
        <f t="shared" ref="S28:AA28" si="2">IF(S24&gt;$Q$28,0,$G$19/$Q$28)</f>
        <v>33333.333333333336</v>
      </c>
      <c r="T28" s="67">
        <f t="shared" si="2"/>
        <v>33333.333333333336</v>
      </c>
      <c r="U28" s="67">
        <f t="shared" si="2"/>
        <v>0</v>
      </c>
      <c r="V28" s="67">
        <f t="shared" si="2"/>
        <v>0</v>
      </c>
      <c r="W28" s="67">
        <f t="shared" si="2"/>
        <v>0</v>
      </c>
      <c r="X28" s="67">
        <f t="shared" si="2"/>
        <v>0</v>
      </c>
      <c r="Y28" s="67">
        <f t="shared" si="2"/>
        <v>0</v>
      </c>
      <c r="Z28" s="67">
        <f t="shared" si="2"/>
        <v>0</v>
      </c>
      <c r="AA28" s="67">
        <f t="shared" si="2"/>
        <v>0</v>
      </c>
    </row>
    <row r="29" spans="1:27">
      <c r="B29" s="60" t="s">
        <v>28</v>
      </c>
      <c r="C29">
        <v>1</v>
      </c>
      <c r="D29">
        <v>2</v>
      </c>
      <c r="E29">
        <v>3</v>
      </c>
      <c r="F29">
        <v>4</v>
      </c>
      <c r="G29">
        <v>5</v>
      </c>
      <c r="H29">
        <v>6</v>
      </c>
      <c r="I29">
        <v>7</v>
      </c>
      <c r="J29">
        <v>8</v>
      </c>
      <c r="K29">
        <v>9</v>
      </c>
      <c r="L29">
        <v>10</v>
      </c>
      <c r="M29" s="22" t="s">
        <v>46</v>
      </c>
      <c r="P29" s="47" t="s">
        <v>26</v>
      </c>
      <c r="Q29" s="70">
        <f>VLOOKUP($C$21,S19:U22,3,FALSE)</f>
        <v>2</v>
      </c>
      <c r="R29" s="23">
        <f t="shared" ref="R29:AA29" si="3">IF(R24&gt;LIfeNew,0,VLOOKUP(R24,$B$4:$F$14,$Q$29,FALSE)*$G$19)</f>
        <v>33330</v>
      </c>
      <c r="S29" s="23">
        <f t="shared" si="3"/>
        <v>44450</v>
      </c>
      <c r="T29" s="23">
        <f t="shared" si="3"/>
        <v>14810.000000000002</v>
      </c>
      <c r="U29" s="23">
        <f t="shared" si="3"/>
        <v>7410</v>
      </c>
      <c r="V29" s="23">
        <f t="shared" si="3"/>
        <v>0</v>
      </c>
      <c r="W29" s="23">
        <f t="shared" si="3"/>
        <v>0</v>
      </c>
      <c r="X29" s="23">
        <f t="shared" si="3"/>
        <v>0</v>
      </c>
      <c r="Y29" s="23">
        <f t="shared" si="3"/>
        <v>0</v>
      </c>
      <c r="Z29" s="23">
        <f t="shared" si="3"/>
        <v>0</v>
      </c>
      <c r="AA29" s="23">
        <f t="shared" si="3"/>
        <v>0</v>
      </c>
    </row>
    <row r="30" spans="1:27" s="22" customFormat="1">
      <c r="A30" s="43"/>
      <c r="B30" s="60" t="s">
        <v>55</v>
      </c>
      <c r="C30" s="23">
        <f>IF(G20="SL",R28,R29)</f>
        <v>33330</v>
      </c>
      <c r="D30" s="23">
        <f t="shared" ref="D30:L30" si="4">IF(H20="SL",S28,S29)</f>
        <v>44450</v>
      </c>
      <c r="E30" s="23">
        <f t="shared" si="4"/>
        <v>14810.000000000002</v>
      </c>
      <c r="F30" s="23">
        <f t="shared" si="4"/>
        <v>7410</v>
      </c>
      <c r="G30" s="23">
        <f t="shared" si="4"/>
        <v>0</v>
      </c>
      <c r="H30" s="23">
        <f t="shared" si="4"/>
        <v>0</v>
      </c>
      <c r="I30" s="23">
        <f t="shared" si="4"/>
        <v>0</v>
      </c>
      <c r="J30" s="23">
        <f t="shared" si="4"/>
        <v>0</v>
      </c>
      <c r="K30" s="23">
        <f t="shared" si="4"/>
        <v>0</v>
      </c>
      <c r="L30" s="23">
        <f t="shared" si="4"/>
        <v>0</v>
      </c>
      <c r="M30" s="23">
        <f t="shared" ref="M30:M31" si="5">SUM(C30:L30)</f>
        <v>100000</v>
      </c>
    </row>
    <row r="31" spans="1:27" ht="17.25">
      <c r="B31" s="61" t="s">
        <v>54</v>
      </c>
      <c r="C31" s="24">
        <f>IF($C$20="SL",R31,R32)</f>
        <v>16666.666666666668</v>
      </c>
      <c r="D31" s="24">
        <f t="shared" ref="D31:L31" si="6">IF($C$20="SL",S31,S32)</f>
        <v>0</v>
      </c>
      <c r="E31" s="24">
        <f t="shared" si="6"/>
        <v>0</v>
      </c>
      <c r="F31" s="24">
        <f t="shared" si="6"/>
        <v>0</v>
      </c>
      <c r="G31" s="24">
        <f t="shared" si="6"/>
        <v>0</v>
      </c>
      <c r="H31" s="24">
        <f t="shared" si="6"/>
        <v>0</v>
      </c>
      <c r="I31" s="24">
        <f t="shared" si="6"/>
        <v>0</v>
      </c>
      <c r="J31" s="24">
        <f t="shared" si="6"/>
        <v>0</v>
      </c>
      <c r="K31" s="24">
        <f t="shared" si="6"/>
        <v>0</v>
      </c>
      <c r="L31" s="24">
        <f t="shared" si="6"/>
        <v>0</v>
      </c>
      <c r="M31" s="23">
        <f t="shared" si="5"/>
        <v>16666.666666666668</v>
      </c>
      <c r="O31" s="22" t="s">
        <v>1</v>
      </c>
      <c r="P31" s="22" t="s">
        <v>87</v>
      </c>
      <c r="Q31" s="22">
        <f>Q25</f>
        <v>3</v>
      </c>
      <c r="R31" s="67">
        <f>IF(R24+$C$22&gt;$Q$31,0,$C$19/$Q$31)</f>
        <v>16666.666666666668</v>
      </c>
      <c r="S31" s="67">
        <f t="shared" ref="S31:AA31" si="7">IF(S24+$C$22&gt;$Q$31,0,$C$19/$Q$31)</f>
        <v>0</v>
      </c>
      <c r="T31" s="67">
        <f t="shared" si="7"/>
        <v>0</v>
      </c>
      <c r="U31" s="67">
        <f t="shared" si="7"/>
        <v>0</v>
      </c>
      <c r="V31" s="67">
        <f t="shared" si="7"/>
        <v>0</v>
      </c>
      <c r="W31" s="67">
        <f t="shared" si="7"/>
        <v>0</v>
      </c>
      <c r="X31" s="67">
        <f t="shared" si="7"/>
        <v>0</v>
      </c>
      <c r="Y31" s="67">
        <f t="shared" si="7"/>
        <v>0</v>
      </c>
      <c r="Z31" s="67">
        <f t="shared" si="7"/>
        <v>0</v>
      </c>
      <c r="AA31" s="67">
        <f t="shared" si="7"/>
        <v>0</v>
      </c>
    </row>
    <row r="32" spans="1:27">
      <c r="B32" s="60" t="s">
        <v>57</v>
      </c>
      <c r="C32" s="23">
        <f>C30-C31</f>
        <v>16663.333333333332</v>
      </c>
      <c r="D32" s="23">
        <f t="shared" ref="D32:L32" si="8">D30-D31</f>
        <v>44450</v>
      </c>
      <c r="E32" s="23">
        <f t="shared" si="8"/>
        <v>14810.000000000002</v>
      </c>
      <c r="F32" s="23">
        <f t="shared" si="8"/>
        <v>7410</v>
      </c>
      <c r="G32" s="23">
        <f t="shared" si="8"/>
        <v>0</v>
      </c>
      <c r="H32" s="23">
        <f t="shared" si="8"/>
        <v>0</v>
      </c>
      <c r="I32" s="23">
        <f t="shared" si="8"/>
        <v>0</v>
      </c>
      <c r="J32" s="23">
        <f t="shared" si="8"/>
        <v>0</v>
      </c>
      <c r="K32" s="23">
        <f t="shared" si="8"/>
        <v>0</v>
      </c>
      <c r="L32" s="23">
        <f t="shared" si="8"/>
        <v>0</v>
      </c>
      <c r="O32" s="22"/>
      <c r="P32" s="47" t="s">
        <v>26</v>
      </c>
      <c r="Q32" s="22">
        <f>Q26</f>
        <v>2</v>
      </c>
      <c r="R32" s="63">
        <f>IF(R24&gt;$C$22,0,VLOOKUP(R24+$C$22,$B$4:I21,$Q$26,FALSE)*$C$19)</f>
        <v>7405.0000000000009</v>
      </c>
      <c r="S32" s="63">
        <f>IF(S24&gt;$C$22,0,VLOOKUP(S24+$C$22,$B$4:J21,$Q$26,FALSE)*$C$19)</f>
        <v>3705</v>
      </c>
      <c r="T32" s="63">
        <f>IF(T24&gt;$C$22,0,VLOOKUP(T24+$C$22,$B$4:K21,$Q$26,FALSE)*$C$19)</f>
        <v>0</v>
      </c>
      <c r="U32" s="63">
        <f>IF(U24&gt;$C$22,0,VLOOKUP(U24+$C$22,$B$4:L21,$Q$26,FALSE)*$C$19)</f>
        <v>0</v>
      </c>
      <c r="V32" s="63">
        <f>IF(V24&gt;$C$22,0,VLOOKUP(V24+$C$22,$B$4:M21,$Q$26,FALSE)*$C$19)</f>
        <v>0</v>
      </c>
      <c r="W32" s="63">
        <f>IF(W24&gt;$C$22,0,VLOOKUP(W24+$C$22,$B$4:N21,$Q$26,FALSE)*$C$19)</f>
        <v>0</v>
      </c>
      <c r="X32" s="63">
        <f>IF(X24&gt;$C$22,0,VLOOKUP(X24+$C$22,$B$4:O21,$Q$26,FALSE)*$C$19)</f>
        <v>0</v>
      </c>
      <c r="Y32" s="63">
        <f>IF(Y24&gt;$C$22,0,VLOOKUP(Y24+$C$22,$B$4:P21,$Q$26,FALSE)*$C$19)</f>
        <v>0</v>
      </c>
      <c r="Z32" s="63">
        <f>IF(Z24&gt;$C$22,0,VLOOKUP(Z24+$C$22,$B$4:Q21,$Q$26,FALSE)*$C$19)</f>
        <v>0</v>
      </c>
      <c r="AA32" s="63">
        <f>IF(AA24&gt;$C$22,0,VLOOKUP(AA24+$C$22,$B$4:R21,$Q$26,FALSE)*$C$19)</f>
        <v>0</v>
      </c>
    </row>
    <row r="34" spans="1:11" s="22" customFormat="1">
      <c r="A34" s="43"/>
      <c r="B34" s="97" t="s">
        <v>67</v>
      </c>
      <c r="C34" s="97"/>
      <c r="D34" s="97"/>
      <c r="E34" s="97"/>
    </row>
    <row r="35" spans="1:11" ht="6.95" customHeight="1"/>
    <row r="36" spans="1:11">
      <c r="B36" s="23" t="s">
        <v>61</v>
      </c>
      <c r="E36" s="1">
        <f>C19</f>
        <v>50000</v>
      </c>
    </row>
    <row r="37" spans="1:11" ht="18" thickBot="1">
      <c r="A37" s="44" t="s">
        <v>15</v>
      </c>
      <c r="B37" s="40" t="s">
        <v>41</v>
      </c>
      <c r="C37" s="41"/>
      <c r="D37" s="41"/>
      <c r="E37" s="24">
        <f>-M26</f>
        <v>-33333.333333333336</v>
      </c>
    </row>
    <row r="38" spans="1:11">
      <c r="A38" s="44"/>
      <c r="B38" s="23" t="s">
        <v>40</v>
      </c>
      <c r="E38" s="1">
        <f>SUM(E36:E37)</f>
        <v>16666.666666666664</v>
      </c>
    </row>
    <row r="39" spans="1:11">
      <c r="A39" s="44"/>
      <c r="B39" s="1"/>
      <c r="E39" s="1"/>
    </row>
    <row r="40" spans="1:11">
      <c r="A40" s="44"/>
      <c r="B40" s="23" t="s">
        <v>39</v>
      </c>
      <c r="E40" s="1">
        <f>'Inputs-Outputs'!F15</f>
        <v>30000</v>
      </c>
    </row>
    <row r="41" spans="1:11" ht="18" thickBot="1">
      <c r="A41" s="44" t="s">
        <v>15</v>
      </c>
      <c r="B41" s="40" t="s">
        <v>40</v>
      </c>
      <c r="C41" s="41"/>
      <c r="D41" s="41"/>
      <c r="E41" s="24">
        <f>-E38</f>
        <v>-16666.666666666664</v>
      </c>
    </row>
    <row r="42" spans="1:11">
      <c r="A42" s="44"/>
      <c r="B42" s="23" t="s">
        <v>42</v>
      </c>
      <c r="E42" s="4">
        <f>SUM(E40:E41)</f>
        <v>13333.333333333336</v>
      </c>
    </row>
    <row r="43" spans="1:11" ht="15.75" thickBot="1">
      <c r="A43" s="44"/>
      <c r="B43" s="42" t="s">
        <v>45</v>
      </c>
      <c r="C43" s="41"/>
      <c r="D43" s="41"/>
      <c r="E43" s="68">
        <f>-'Inputs-Outputs'!J6*'Depn-ATSV'!E42</f>
        <v>-4533.3333333333348</v>
      </c>
    </row>
    <row r="44" spans="1:11">
      <c r="B44" s="42"/>
      <c r="E44" s="1"/>
    </row>
    <row r="45" spans="1:11" s="22" customFormat="1">
      <c r="A45" s="43"/>
      <c r="B45" s="42"/>
      <c r="E45" s="23"/>
    </row>
    <row r="46" spans="1:11" s="22" customFormat="1">
      <c r="A46" s="43"/>
      <c r="B46" s="97" t="str">
        <f>"Tax Effect at t="&amp;'Inputs-Outputs'!$G$7&amp;" for OLD Project"</f>
        <v>Tax Effect at t=8 for OLD Project</v>
      </c>
      <c r="C46" s="97"/>
      <c r="D46" s="97"/>
      <c r="E46" s="97"/>
      <c r="H46" s="97" t="str">
        <f>"Tax Effect at t="&amp;'Inputs-Outputs'!$G$7&amp;" for NEW Project"</f>
        <v>Tax Effect at t=8 for NEW Project</v>
      </c>
      <c r="I46" s="97"/>
      <c r="J46" s="97"/>
      <c r="K46" s="97"/>
    </row>
    <row r="48" spans="1:11">
      <c r="B48" s="23" t="s">
        <v>61</v>
      </c>
      <c r="C48" s="22"/>
      <c r="D48" s="22"/>
      <c r="E48" s="23">
        <f>C19</f>
        <v>50000</v>
      </c>
      <c r="G48" s="43"/>
      <c r="H48" s="23" t="s">
        <v>62</v>
      </c>
      <c r="I48" s="22"/>
      <c r="J48" s="22"/>
      <c r="K48" s="23">
        <f>G19</f>
        <v>100000</v>
      </c>
    </row>
    <row r="49" spans="1:11" ht="18" thickBot="1">
      <c r="A49" s="44" t="s">
        <v>15</v>
      </c>
      <c r="B49" s="40" t="s">
        <v>41</v>
      </c>
      <c r="C49" s="41"/>
      <c r="D49" s="41"/>
      <c r="E49" s="24">
        <f>-(M26+M31)</f>
        <v>-50000</v>
      </c>
      <c r="G49" s="44" t="s">
        <v>15</v>
      </c>
      <c r="H49" s="40" t="s">
        <v>41</v>
      </c>
      <c r="I49" s="41"/>
      <c r="J49" s="41"/>
      <c r="K49" s="24">
        <f>-M30</f>
        <v>-100000</v>
      </c>
    </row>
    <row r="50" spans="1:11">
      <c r="A50" s="44"/>
      <c r="B50" s="23" t="s">
        <v>40</v>
      </c>
      <c r="C50" s="22"/>
      <c r="D50" s="22"/>
      <c r="E50" s="23">
        <f>SUM(E48:E49)</f>
        <v>0</v>
      </c>
      <c r="G50" s="44"/>
      <c r="H50" s="23" t="s">
        <v>40</v>
      </c>
      <c r="I50" s="22"/>
      <c r="J50" s="22"/>
      <c r="K50" s="23">
        <f>SUM(K48:K49)</f>
        <v>0</v>
      </c>
    </row>
    <row r="51" spans="1:11">
      <c r="A51" s="44"/>
      <c r="B51" s="23"/>
      <c r="C51" s="22"/>
      <c r="D51" s="22"/>
      <c r="E51" s="23"/>
      <c r="G51" s="44"/>
      <c r="H51" s="23"/>
      <c r="I51" s="22"/>
      <c r="J51" s="22"/>
      <c r="K51" s="23"/>
    </row>
    <row r="52" spans="1:11">
      <c r="A52" s="44"/>
      <c r="B52" s="23" t="s">
        <v>39</v>
      </c>
      <c r="C52" s="22"/>
      <c r="D52" s="22"/>
      <c r="E52" s="23">
        <f>'Inputs-Outputs'!F16</f>
        <v>5000</v>
      </c>
      <c r="G52" s="44"/>
      <c r="H52" s="23" t="s">
        <v>65</v>
      </c>
      <c r="I52" s="22"/>
      <c r="J52" s="22"/>
      <c r="K52" s="23">
        <f>'Inputs-Outputs'!G16</f>
        <v>25000</v>
      </c>
    </row>
    <row r="53" spans="1:11" ht="18" thickBot="1">
      <c r="A53" s="44" t="s">
        <v>15</v>
      </c>
      <c r="B53" s="40" t="s">
        <v>40</v>
      </c>
      <c r="C53" s="41"/>
      <c r="D53" s="41"/>
      <c r="E53" s="24">
        <f>-E50</f>
        <v>0</v>
      </c>
      <c r="G53" s="44" t="s">
        <v>15</v>
      </c>
      <c r="H53" s="25" t="s">
        <v>66</v>
      </c>
      <c r="I53" s="41"/>
      <c r="J53" s="41"/>
      <c r="K53" s="24">
        <f>-K50</f>
        <v>0</v>
      </c>
    </row>
    <row r="54" spans="1:11">
      <c r="A54" s="44"/>
      <c r="B54" s="23" t="s">
        <v>42</v>
      </c>
      <c r="C54" s="22"/>
      <c r="D54" s="22"/>
      <c r="E54" s="4">
        <f>SUM(E52:E53)</f>
        <v>5000</v>
      </c>
      <c r="G54" s="44"/>
      <c r="H54" s="23" t="s">
        <v>42</v>
      </c>
      <c r="I54" s="22"/>
      <c r="J54" s="22"/>
      <c r="K54" s="4">
        <f>SUM(K52:K53)</f>
        <v>25000</v>
      </c>
    </row>
    <row r="55" spans="1:11" ht="15.75" thickBot="1">
      <c r="A55" s="44" t="s">
        <v>43</v>
      </c>
      <c r="B55" s="40" t="s">
        <v>44</v>
      </c>
      <c r="C55" s="41"/>
      <c r="D55" s="41"/>
      <c r="E55" s="21">
        <f>-'Inputs-Outputs'!J6</f>
        <v>-0.34</v>
      </c>
      <c r="G55" s="44" t="s">
        <v>43</v>
      </c>
      <c r="H55" s="40" t="s">
        <v>44</v>
      </c>
      <c r="I55" s="41"/>
      <c r="J55" s="41"/>
      <c r="K55" s="21">
        <f>E55</f>
        <v>-0.34</v>
      </c>
    </row>
    <row r="56" spans="1:11">
      <c r="B56" s="42" t="s">
        <v>45</v>
      </c>
      <c r="C56" s="22"/>
      <c r="D56" s="22"/>
      <c r="E56" s="23">
        <f>E54*E55</f>
        <v>-1700.0000000000002</v>
      </c>
      <c r="G56" s="43"/>
      <c r="H56" s="42" t="s">
        <v>45</v>
      </c>
      <c r="I56" s="22"/>
      <c r="J56" s="22"/>
      <c r="K56" s="23">
        <f>K54*K55</f>
        <v>-8500</v>
      </c>
    </row>
    <row r="58" spans="1:11">
      <c r="B58" s="23" t="s">
        <v>39</v>
      </c>
      <c r="E58" s="23">
        <f>E52</f>
        <v>5000</v>
      </c>
      <c r="G58" s="43"/>
      <c r="H58" s="23" t="s">
        <v>62</v>
      </c>
      <c r="I58" s="22"/>
      <c r="J58" s="22"/>
      <c r="K58" s="23">
        <f>K52</f>
        <v>25000</v>
      </c>
    </row>
    <row r="59" spans="1:11" ht="15.75" thickBot="1">
      <c r="A59" s="50" t="s">
        <v>18</v>
      </c>
      <c r="B59" s="25" t="s">
        <v>45</v>
      </c>
      <c r="C59" s="41"/>
      <c r="D59" s="41"/>
      <c r="E59" s="25">
        <f>E56</f>
        <v>-1700.0000000000002</v>
      </c>
      <c r="G59" s="50" t="s">
        <v>18</v>
      </c>
      <c r="H59" s="25" t="s">
        <v>45</v>
      </c>
      <c r="I59" s="41"/>
      <c r="J59" s="41"/>
      <c r="K59" s="25">
        <f>K56</f>
        <v>-8500</v>
      </c>
    </row>
    <row r="60" spans="1:11">
      <c r="B60" s="45" t="s">
        <v>63</v>
      </c>
      <c r="E60" s="23">
        <f>SUM(E58:E59)</f>
        <v>3300</v>
      </c>
      <c r="G60" s="43"/>
      <c r="H60" s="45" t="s">
        <v>64</v>
      </c>
      <c r="I60" s="22"/>
      <c r="J60" s="22"/>
      <c r="K60" s="23">
        <f>SUM(K58:K59)</f>
        <v>16500</v>
      </c>
    </row>
    <row r="62" spans="1:11">
      <c r="H62" s="45" t="s">
        <v>60</v>
      </c>
      <c r="K62" s="23">
        <f>K60-E60</f>
        <v>13200</v>
      </c>
    </row>
  </sheetData>
  <mergeCells count="5">
    <mergeCell ref="B2:F2"/>
    <mergeCell ref="B34:E34"/>
    <mergeCell ref="B46:E46"/>
    <mergeCell ref="H46:K46"/>
    <mergeCell ref="B16:G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153"/>
  <sheetViews>
    <sheetView topLeftCell="A133" zoomScale="130" zoomScaleNormal="130" workbookViewId="0">
      <selection activeCell="I156" sqref="I156"/>
    </sheetView>
  </sheetViews>
  <sheetFormatPr defaultColWidth="9.140625" defaultRowHeight="15"/>
  <cols>
    <col min="1" max="1" width="3.140625" style="22" customWidth="1"/>
    <col min="2" max="3" width="9.140625" style="22"/>
    <col min="4" max="4" width="9.42578125" style="22" bestFit="1" customWidth="1"/>
    <col min="5" max="6" width="12.42578125" style="22" customWidth="1"/>
    <col min="7" max="7" width="10.42578125" style="22" customWidth="1"/>
    <col min="8" max="8" width="9.140625" style="22"/>
    <col min="9" max="9" width="9.42578125" style="22" bestFit="1" customWidth="1"/>
    <col min="10" max="10" width="11.85546875" style="22" bestFit="1" customWidth="1"/>
    <col min="11" max="16384" width="9.140625" style="22"/>
  </cols>
  <sheetData>
    <row r="2" spans="2:2">
      <c r="B2" s="22" t="s">
        <v>92</v>
      </c>
    </row>
    <row r="3" spans="2:2">
      <c r="B3" s="22" t="s">
        <v>93</v>
      </c>
    </row>
    <row r="4" spans="2:2">
      <c r="B4" s="22" t="s">
        <v>94</v>
      </c>
    </row>
    <row r="5" spans="2:2">
      <c r="B5" s="22" t="s">
        <v>95</v>
      </c>
    </row>
    <row r="7" spans="2:2">
      <c r="B7" s="22" t="s">
        <v>96</v>
      </c>
    </row>
    <row r="8" spans="2:2">
      <c r="B8" s="22" t="s">
        <v>97</v>
      </c>
    </row>
    <row r="9" spans="2:2">
      <c r="B9" s="22" t="s">
        <v>98</v>
      </c>
    </row>
    <row r="10" spans="2:2">
      <c r="B10" s="22" t="s">
        <v>99</v>
      </c>
    </row>
    <row r="12" spans="2:2">
      <c r="B12" s="22" t="s">
        <v>100</v>
      </c>
    </row>
    <row r="13" spans="2:2">
      <c r="B13" s="22" t="s">
        <v>101</v>
      </c>
    </row>
    <row r="14" spans="2:2">
      <c r="B14" s="22" t="s">
        <v>102</v>
      </c>
    </row>
    <row r="15" spans="2:2">
      <c r="B15" s="22" t="s">
        <v>103</v>
      </c>
    </row>
    <row r="17" spans="2:7">
      <c r="B17" s="56" t="s">
        <v>104</v>
      </c>
    </row>
    <row r="18" spans="2:7">
      <c r="C18" s="22" t="s">
        <v>28</v>
      </c>
      <c r="D18" s="22" t="s">
        <v>72</v>
      </c>
      <c r="F18" s="22" t="s">
        <v>28</v>
      </c>
      <c r="G18" s="71">
        <f>D28</f>
        <v>-1192.1362275366791</v>
      </c>
    </row>
    <row r="19" spans="2:7">
      <c r="C19" s="22">
        <v>0</v>
      </c>
      <c r="D19" s="72">
        <v>-12000</v>
      </c>
      <c r="F19" s="22">
        <v>0</v>
      </c>
      <c r="G19" s="22">
        <v>10000</v>
      </c>
    </row>
    <row r="20" spans="2:7">
      <c r="C20" s="22">
        <v>1</v>
      </c>
      <c r="D20" s="72">
        <v>2000</v>
      </c>
      <c r="F20" s="73">
        <v>0.05</v>
      </c>
      <c r="G20" s="22">
        <v>6313.6793606417123</v>
      </c>
    </row>
    <row r="21" spans="2:7">
      <c r="C21" s="22">
        <v>2</v>
      </c>
      <c r="D21" s="72">
        <v>3000</v>
      </c>
      <c r="F21" s="73">
        <v>0.1</v>
      </c>
      <c r="G21" s="22">
        <v>3459.4281540404154</v>
      </c>
    </row>
    <row r="22" spans="2:7">
      <c r="C22" s="22">
        <v>3</v>
      </c>
      <c r="D22" s="72">
        <v>4000</v>
      </c>
      <c r="F22" s="73">
        <v>0.15</v>
      </c>
      <c r="G22" s="22">
        <v>1214.4099192054764</v>
      </c>
    </row>
    <row r="23" spans="2:7">
      <c r="C23" s="22">
        <v>4</v>
      </c>
      <c r="D23" s="72">
        <v>5000</v>
      </c>
      <c r="F23" s="73">
        <v>0.2</v>
      </c>
      <c r="G23" s="22">
        <v>-576.81755829903886</v>
      </c>
    </row>
    <row r="24" spans="2:7">
      <c r="C24" s="22">
        <v>5</v>
      </c>
      <c r="D24" s="72">
        <v>4000</v>
      </c>
      <c r="F24" s="73">
        <v>0.25</v>
      </c>
      <c r="G24" s="22">
        <v>-2024.7040000000015</v>
      </c>
    </row>
    <row r="25" spans="2:7">
      <c r="C25" s="22">
        <v>6</v>
      </c>
      <c r="D25" s="72">
        <v>4000</v>
      </c>
      <c r="F25" s="73">
        <v>0.3</v>
      </c>
      <c r="G25" s="22">
        <v>-3209.0658652538368</v>
      </c>
    </row>
    <row r="27" spans="2:7">
      <c r="C27" s="22" t="s">
        <v>105</v>
      </c>
      <c r="D27" s="73">
        <v>0.22</v>
      </c>
    </row>
    <row r="28" spans="2:7">
      <c r="C28" s="22" t="s">
        <v>74</v>
      </c>
      <c r="D28" s="71">
        <f>NPV(D27,D20:D25)+D19</f>
        <v>-1192.1362275366791</v>
      </c>
    </row>
    <row r="29" spans="2:7">
      <c r="C29" s="22" t="s">
        <v>75</v>
      </c>
      <c r="D29" s="74">
        <f>IRR(D19:D25)</f>
        <v>0.18267835438108454</v>
      </c>
    </row>
    <row r="31" spans="2:7">
      <c r="B31" s="22" t="s">
        <v>106</v>
      </c>
    </row>
    <row r="33" spans="2:9">
      <c r="B33" s="75" t="s">
        <v>107</v>
      </c>
      <c r="C33" s="56" t="s">
        <v>108</v>
      </c>
      <c r="D33" s="56"/>
      <c r="E33" s="56"/>
      <c r="F33" s="56"/>
      <c r="G33" s="56"/>
      <c r="H33" s="56"/>
      <c r="I33" s="56"/>
    </row>
    <row r="35" spans="2:9">
      <c r="D35" s="22" t="s">
        <v>109</v>
      </c>
    </row>
    <row r="36" spans="2:9">
      <c r="D36" s="22" t="s">
        <v>110</v>
      </c>
    </row>
    <row r="37" spans="2:9">
      <c r="D37" s="22" t="s">
        <v>111</v>
      </c>
    </row>
    <row r="39" spans="2:9">
      <c r="D39" s="22" t="s">
        <v>112</v>
      </c>
    </row>
    <row r="41" spans="2:9">
      <c r="D41" s="22" t="s">
        <v>28</v>
      </c>
      <c r="I41" s="67">
        <f>E60</f>
        <v>25.75450611252154</v>
      </c>
    </row>
    <row r="42" spans="2:9">
      <c r="D42" s="22">
        <v>0</v>
      </c>
      <c r="E42" s="76">
        <v>-1000</v>
      </c>
      <c r="F42" s="76">
        <v>-1000</v>
      </c>
      <c r="H42" s="77">
        <v>0</v>
      </c>
      <c r="I42" s="76">
        <v>-50</v>
      </c>
    </row>
    <row r="43" spans="2:9">
      <c r="D43" s="22">
        <v>1</v>
      </c>
      <c r="E43" s="76">
        <v>1200</v>
      </c>
      <c r="F43" s="76">
        <v>1071.4285714285713</v>
      </c>
      <c r="H43" s="77">
        <v>0.02</v>
      </c>
      <c r="I43" s="76">
        <v>-9.2830942618356858</v>
      </c>
    </row>
    <row r="44" spans="2:9">
      <c r="D44" s="22">
        <v>2</v>
      </c>
      <c r="E44" s="76">
        <v>0</v>
      </c>
      <c r="F44" s="76"/>
      <c r="H44" s="77">
        <v>0.04</v>
      </c>
      <c r="I44" s="76">
        <v>15.030028167835098</v>
      </c>
    </row>
    <row r="45" spans="2:9">
      <c r="D45" s="22">
        <v>3</v>
      </c>
      <c r="E45" s="76">
        <v>0</v>
      </c>
      <c r="F45" s="76"/>
      <c r="H45" s="77">
        <v>0.06</v>
      </c>
      <c r="I45" s="76">
        <v>27.759206514228026</v>
      </c>
    </row>
    <row r="46" spans="2:9">
      <c r="D46" s="22">
        <v>4</v>
      </c>
      <c r="E46" s="76">
        <v>0</v>
      </c>
      <c r="F46" s="76"/>
      <c r="H46" s="77">
        <v>0.08</v>
      </c>
      <c r="I46" s="76">
        <v>32.300684869638644</v>
      </c>
    </row>
    <row r="47" spans="2:9">
      <c r="D47" s="22">
        <v>5</v>
      </c>
      <c r="E47" s="76">
        <v>0</v>
      </c>
      <c r="F47" s="76"/>
      <c r="H47" s="77">
        <v>0.1</v>
      </c>
      <c r="I47" s="76">
        <v>31.061078566799779</v>
      </c>
    </row>
    <row r="48" spans="2:9">
      <c r="D48" s="22">
        <v>6</v>
      </c>
      <c r="E48" s="76">
        <v>0</v>
      </c>
      <c r="F48" s="76"/>
      <c r="H48" s="77">
        <v>0.12</v>
      </c>
      <c r="I48" s="76">
        <v>25.75450611252154</v>
      </c>
    </row>
    <row r="49" spans="2:10">
      <c r="D49" s="22">
        <v>7</v>
      </c>
      <c r="E49" s="76">
        <v>0</v>
      </c>
      <c r="F49" s="76"/>
      <c r="H49" s="77">
        <v>0.14000000000000001</v>
      </c>
      <c r="I49" s="76">
        <v>17.607458430078623</v>
      </c>
    </row>
    <row r="50" spans="2:10">
      <c r="D50" s="22">
        <v>8</v>
      </c>
      <c r="E50" s="76">
        <v>0</v>
      </c>
      <c r="F50" s="76"/>
      <c r="H50" s="77">
        <v>0.16</v>
      </c>
      <c r="I50" s="76">
        <v>7.501005125185884</v>
      </c>
    </row>
    <row r="51" spans="2:10">
      <c r="D51" s="22">
        <v>9</v>
      </c>
      <c r="E51" s="76">
        <v>0</v>
      </c>
      <c r="F51" s="76"/>
      <c r="H51" s="77">
        <v>0.18</v>
      </c>
      <c r="I51" s="76">
        <v>-3.929857303151266</v>
      </c>
    </row>
    <row r="52" spans="2:10">
      <c r="D52" s="22">
        <v>10</v>
      </c>
      <c r="E52" s="76">
        <v>0</v>
      </c>
      <c r="F52" s="76"/>
      <c r="H52" s="77">
        <v>0.2</v>
      </c>
      <c r="I52" s="76">
        <v>-16.226367879718623</v>
      </c>
    </row>
    <row r="53" spans="2:10">
      <c r="D53" s="22">
        <v>11</v>
      </c>
      <c r="E53" s="76">
        <v>0</v>
      </c>
      <c r="F53" s="76"/>
      <c r="H53" s="77">
        <v>0.22</v>
      </c>
      <c r="I53" s="76">
        <v>-29.056615869377879</v>
      </c>
    </row>
    <row r="54" spans="2:10">
      <c r="D54" s="22">
        <v>12</v>
      </c>
      <c r="E54" s="76">
        <v>0</v>
      </c>
      <c r="F54" s="76"/>
      <c r="H54" s="77">
        <v>0.24</v>
      </c>
      <c r="I54" s="76">
        <v>-42.180418834388547</v>
      </c>
    </row>
    <row r="55" spans="2:10">
      <c r="D55" s="22">
        <v>13</v>
      </c>
      <c r="E55" s="76">
        <v>0</v>
      </c>
      <c r="F55" s="76"/>
      <c r="H55" s="77">
        <v>0.26</v>
      </c>
      <c r="I55" s="76">
        <v>-55.424208009106337</v>
      </c>
    </row>
    <row r="56" spans="2:10">
      <c r="D56" s="22">
        <v>14</v>
      </c>
      <c r="E56" s="76">
        <v>0</v>
      </c>
      <c r="F56" s="76"/>
      <c r="H56" s="77">
        <v>0.28000000000000003</v>
      </c>
      <c r="I56" s="76">
        <v>-68.66297582203913</v>
      </c>
    </row>
    <row r="57" spans="2:10">
      <c r="D57" s="22">
        <v>15</v>
      </c>
      <c r="E57" s="76">
        <v>-250</v>
      </c>
      <c r="F57" s="76">
        <v>-45.67406531604982</v>
      </c>
      <c r="H57" s="77">
        <v>0.3</v>
      </c>
      <c r="I57" s="76">
        <v>-81.80723514087299</v>
      </c>
    </row>
    <row r="59" spans="2:10">
      <c r="D59" s="22" t="s">
        <v>113</v>
      </c>
      <c r="E59" s="73">
        <v>0.12</v>
      </c>
    </row>
    <row r="60" spans="2:10">
      <c r="D60" s="22" t="s">
        <v>74</v>
      </c>
      <c r="E60" s="78">
        <f>NPV(E59,E43:E57)+E42</f>
        <v>25.75450611252154</v>
      </c>
    </row>
    <row r="61" spans="2:10">
      <c r="E61" s="76"/>
    </row>
    <row r="62" spans="2:10">
      <c r="B62" s="75" t="s">
        <v>114</v>
      </c>
      <c r="C62" s="56" t="s">
        <v>115</v>
      </c>
      <c r="D62" s="56"/>
      <c r="E62" s="79"/>
      <c r="F62" s="56"/>
      <c r="G62" s="56"/>
      <c r="H62" s="56"/>
      <c r="I62" s="56"/>
      <c r="J62" s="56"/>
    </row>
    <row r="64" spans="2:10">
      <c r="I64" s="80">
        <f>E77</f>
        <v>165.04088766912309</v>
      </c>
      <c r="J64" s="80">
        <f>F77</f>
        <v>465.22137564246623</v>
      </c>
    </row>
    <row r="65" spans="4:10">
      <c r="D65" s="56" t="s">
        <v>28</v>
      </c>
      <c r="E65" s="56" t="s">
        <v>116</v>
      </c>
      <c r="F65" s="56" t="s">
        <v>117</v>
      </c>
      <c r="H65" s="77">
        <v>0</v>
      </c>
      <c r="I65" s="22">
        <v>560</v>
      </c>
      <c r="J65" s="22">
        <v>2700</v>
      </c>
    </row>
    <row r="66" spans="4:10">
      <c r="D66" s="22">
        <v>0</v>
      </c>
      <c r="E66" s="78">
        <v>-2000</v>
      </c>
      <c r="F66" s="78">
        <v>-2000</v>
      </c>
      <c r="H66" s="77">
        <v>0.02</v>
      </c>
      <c r="I66" s="22">
        <v>470.76643674407478</v>
      </c>
      <c r="J66" s="22">
        <v>2116.223583029192</v>
      </c>
    </row>
    <row r="67" spans="4:10">
      <c r="D67" s="22">
        <v>1</v>
      </c>
      <c r="E67" s="78">
        <v>1200</v>
      </c>
      <c r="F67" s="78">
        <v>-350</v>
      </c>
      <c r="H67" s="77">
        <v>0.04</v>
      </c>
      <c r="I67" s="22">
        <v>387.1129278292342</v>
      </c>
      <c r="J67" s="22">
        <v>1612.0056966346301</v>
      </c>
    </row>
    <row r="68" spans="4:10">
      <c r="D68" s="22">
        <v>2</v>
      </c>
      <c r="E68" s="78">
        <v>900</v>
      </c>
      <c r="F68" s="78">
        <v>-60</v>
      </c>
      <c r="H68" s="77">
        <v>0.06</v>
      </c>
      <c r="I68" s="22">
        <v>308.55455441266577</v>
      </c>
      <c r="J68" s="22">
        <v>1175.2147611455002</v>
      </c>
    </row>
    <row r="69" spans="4:10">
      <c r="D69" s="22">
        <v>3</v>
      </c>
      <c r="E69" s="78">
        <v>300</v>
      </c>
      <c r="F69" s="78">
        <v>60</v>
      </c>
      <c r="H69" s="77">
        <v>0.08</v>
      </c>
      <c r="I69" s="22">
        <v>234.65923223281015</v>
      </c>
      <c r="J69" s="22">
        <v>795.76087656511527</v>
      </c>
    </row>
    <row r="70" spans="4:10">
      <c r="D70" s="22">
        <v>4</v>
      </c>
      <c r="E70" s="78">
        <v>90</v>
      </c>
      <c r="F70" s="78">
        <v>350</v>
      </c>
      <c r="H70" s="77">
        <v>0.1</v>
      </c>
      <c r="I70" s="22">
        <v>165.04088766912309</v>
      </c>
      <c r="J70" s="22">
        <v>465.22137564246623</v>
      </c>
    </row>
    <row r="71" spans="4:10">
      <c r="D71" s="22">
        <v>5</v>
      </c>
      <c r="E71" s="78">
        <v>70</v>
      </c>
      <c r="F71" s="78">
        <v>700</v>
      </c>
      <c r="H71" s="77">
        <v>0.12</v>
      </c>
      <c r="I71" s="22">
        <v>99.353642525249597</v>
      </c>
      <c r="J71" s="22">
        <v>176.54045701654013</v>
      </c>
    </row>
    <row r="72" spans="4:10">
      <c r="D72" s="22">
        <v>6</v>
      </c>
      <c r="E72" s="78">
        <v>0</v>
      </c>
      <c r="F72" s="78">
        <v>1200</v>
      </c>
      <c r="H72" s="77">
        <v>0.14000000000000001</v>
      </c>
      <c r="I72" s="22">
        <v>37.286840899745812</v>
      </c>
      <c r="J72" s="22">
        <v>-76.212782159823291</v>
      </c>
    </row>
    <row r="73" spans="4:10">
      <c r="D73" s="22">
        <v>7</v>
      </c>
      <c r="E73" s="78">
        <v>0</v>
      </c>
      <c r="F73" s="78">
        <v>2800</v>
      </c>
      <c r="H73" s="77">
        <v>0.16</v>
      </c>
      <c r="I73" s="22">
        <v>-21.439218251498232</v>
      </c>
      <c r="J73" s="22">
        <v>-298.04006726805505</v>
      </c>
    </row>
    <row r="74" spans="4:10">
      <c r="H74" s="77">
        <v>0.18</v>
      </c>
      <c r="I74" s="22">
        <v>-77.076954968626524</v>
      </c>
      <c r="J74" s="22">
        <v>-493.17288527234791</v>
      </c>
    </row>
    <row r="75" spans="4:10">
      <c r="D75" s="22" t="s">
        <v>118</v>
      </c>
      <c r="E75" s="73">
        <v>0.1</v>
      </c>
      <c r="F75" s="73">
        <f>E75</f>
        <v>0.1</v>
      </c>
      <c r="H75" s="77">
        <v>0.2</v>
      </c>
      <c r="I75" s="22">
        <v>-129.85468106995836</v>
      </c>
      <c r="J75" s="22">
        <v>-665.20204618198431</v>
      </c>
    </row>
    <row r="76" spans="4:10">
      <c r="D76" s="22" t="s">
        <v>75</v>
      </c>
      <c r="E76" s="81">
        <v>0.15257139008519277</v>
      </c>
      <c r="F76" s="81">
        <v>0.13368767530042189</v>
      </c>
      <c r="H76" s="77">
        <v>0.22</v>
      </c>
      <c r="I76" s="22">
        <v>-179.97934850060392</v>
      </c>
      <c r="J76" s="22">
        <v>-817.18368556081828</v>
      </c>
    </row>
    <row r="77" spans="4:10">
      <c r="D77" s="22" t="s">
        <v>74</v>
      </c>
      <c r="E77" s="80">
        <f>NPV(E75,E67:E73)+E66</f>
        <v>165.04088766912309</v>
      </c>
      <c r="F77" s="80">
        <f>NPV(F75,F67:F73)+F66</f>
        <v>465.22137564246623</v>
      </c>
      <c r="H77" s="77">
        <v>0.24</v>
      </c>
      <c r="I77" s="22">
        <v>-227.63893697022309</v>
      </c>
      <c r="J77" s="22">
        <v>-951.72630021118266</v>
      </c>
    </row>
    <row r="78" spans="4:10">
      <c r="H78" s="77">
        <v>0.26</v>
      </c>
      <c r="I78" s="22">
        <v>-273.0045340541235</v>
      </c>
      <c r="J78" s="22">
        <v>-1071.0624562332694</v>
      </c>
    </row>
    <row r="79" spans="4:10">
      <c r="H79" s="77">
        <v>0.28000000000000003</v>
      </c>
      <c r="I79" s="22">
        <v>-316.23215228319168</v>
      </c>
      <c r="J79" s="22">
        <v>-1177.1080650505612</v>
      </c>
    </row>
    <row r="80" spans="4:10">
      <c r="H80" s="77">
        <v>0.3</v>
      </c>
      <c r="I80" s="22">
        <v>-357.4643206308765</v>
      </c>
      <c r="J80" s="22">
        <v>-1271.5115402647689</v>
      </c>
    </row>
    <row r="99" spans="2:5">
      <c r="B99" s="75" t="s">
        <v>119</v>
      </c>
      <c r="C99" s="56" t="s">
        <v>120</v>
      </c>
      <c r="D99" s="56"/>
      <c r="E99" s="79"/>
    </row>
    <row r="100" spans="2:5">
      <c r="C100" s="56" t="s">
        <v>121</v>
      </c>
    </row>
    <row r="102" spans="2:5">
      <c r="B102" s="75" t="s">
        <v>122</v>
      </c>
      <c r="C102" s="56" t="s">
        <v>123</v>
      </c>
    </row>
    <row r="103" spans="2:5">
      <c r="C103" s="56" t="s">
        <v>124</v>
      </c>
    </row>
    <row r="105" spans="2:5">
      <c r="D105" s="22" t="s">
        <v>125</v>
      </c>
    </row>
    <row r="106" spans="2:5">
      <c r="D106" s="22" t="s">
        <v>126</v>
      </c>
    </row>
    <row r="108" spans="2:5">
      <c r="B108" s="56" t="s">
        <v>127</v>
      </c>
    </row>
    <row r="110" spans="2:5">
      <c r="C110" s="22" t="s">
        <v>128</v>
      </c>
    </row>
    <row r="111" spans="2:5">
      <c r="C111" s="22" t="s">
        <v>129</v>
      </c>
    </row>
    <row r="112" spans="2:5">
      <c r="C112" s="22" t="s">
        <v>130</v>
      </c>
    </row>
    <row r="114" spans="3:10">
      <c r="C114" s="22" t="s">
        <v>131</v>
      </c>
    </row>
    <row r="116" spans="3:10">
      <c r="C116" s="22" t="s">
        <v>112</v>
      </c>
    </row>
    <row r="118" spans="3:10">
      <c r="D118" s="22" t="s">
        <v>28</v>
      </c>
      <c r="G118" s="56" t="s">
        <v>132</v>
      </c>
    </row>
    <row r="119" spans="3:10">
      <c r="D119" s="22">
        <v>0</v>
      </c>
      <c r="E119" s="78">
        <v>-2000</v>
      </c>
      <c r="I119" s="22">
        <v>0</v>
      </c>
      <c r="J119" s="78">
        <v>-2000</v>
      </c>
    </row>
    <row r="120" spans="3:10">
      <c r="D120" s="22">
        <v>1</v>
      </c>
      <c r="E120" s="78">
        <v>1200</v>
      </c>
      <c r="G120" s="82">
        <f>FV($E$126,5-D120,0,-E120)</f>
        <v>1756.9200000000005</v>
      </c>
      <c r="I120" s="22">
        <v>1</v>
      </c>
      <c r="J120" s="78">
        <v>0</v>
      </c>
    </row>
    <row r="121" spans="3:10">
      <c r="D121" s="22">
        <v>2</v>
      </c>
      <c r="E121" s="78">
        <v>900</v>
      </c>
      <c r="G121" s="82">
        <f t="shared" ref="G121:G124" si="0">FV($E$126,5-D121,0,-E121)</f>
        <v>1197.9000000000003</v>
      </c>
      <c r="I121" s="22">
        <v>2</v>
      </c>
      <c r="J121" s="78">
        <v>0</v>
      </c>
    </row>
    <row r="122" spans="3:10">
      <c r="D122" s="22">
        <v>3</v>
      </c>
      <c r="E122" s="78">
        <v>300</v>
      </c>
      <c r="G122" s="82">
        <f t="shared" si="0"/>
        <v>363.00000000000006</v>
      </c>
      <c r="I122" s="22">
        <v>3</v>
      </c>
      <c r="J122" s="78">
        <v>0</v>
      </c>
    </row>
    <row r="123" spans="3:10">
      <c r="D123" s="22">
        <v>4</v>
      </c>
      <c r="E123" s="78">
        <v>90</v>
      </c>
      <c r="G123" s="82">
        <f t="shared" si="0"/>
        <v>99.000000000000014</v>
      </c>
      <c r="I123" s="22">
        <v>4</v>
      </c>
      <c r="J123" s="78">
        <v>0</v>
      </c>
    </row>
    <row r="124" spans="3:10">
      <c r="D124" s="22">
        <v>5</v>
      </c>
      <c r="E124" s="78">
        <v>70</v>
      </c>
      <c r="G124" s="82">
        <f t="shared" si="0"/>
        <v>70</v>
      </c>
      <c r="I124" s="22">
        <v>5</v>
      </c>
      <c r="J124" s="83">
        <f>G125</f>
        <v>3486.8200000000006</v>
      </c>
    </row>
    <row r="125" spans="3:10">
      <c r="E125" s="78"/>
      <c r="F125" s="84" t="s">
        <v>133</v>
      </c>
      <c r="G125" s="82">
        <f>SUM(G120:G124)</f>
        <v>3486.8200000000006</v>
      </c>
      <c r="J125" s="78"/>
    </row>
    <row r="126" spans="3:10">
      <c r="D126" s="22" t="s">
        <v>118</v>
      </c>
      <c r="E126" s="73">
        <v>0.1</v>
      </c>
      <c r="J126" s="85">
        <f>RATE(5,0,J119,J124)</f>
        <v>0.11758330780701567</v>
      </c>
    </row>
    <row r="127" spans="3:10">
      <c r="D127" s="22" t="s">
        <v>75</v>
      </c>
      <c r="E127" s="81">
        <v>0.15257139008519277</v>
      </c>
    </row>
    <row r="128" spans="3:10">
      <c r="D128" s="22" t="s">
        <v>74</v>
      </c>
      <c r="E128" s="80">
        <v>165.04088766912309</v>
      </c>
      <c r="F128" s="84" t="s">
        <v>134</v>
      </c>
      <c r="G128" s="81">
        <f>RATE(5,0,E119,G125)</f>
        <v>0.11758330780701567</v>
      </c>
    </row>
    <row r="129" spans="2:10">
      <c r="J129" s="74"/>
    </row>
    <row r="130" spans="2:10">
      <c r="F130" s="22" t="s">
        <v>135</v>
      </c>
      <c r="G130" s="74">
        <f>MIRR(E119:E124,E126,E126)</f>
        <v>0.1175833078062094</v>
      </c>
    </row>
    <row r="132" spans="2:10">
      <c r="C132" s="22" t="s">
        <v>136</v>
      </c>
    </row>
    <row r="133" spans="2:10">
      <c r="C133" s="22" t="s">
        <v>137</v>
      </c>
    </row>
    <row r="134" spans="2:10">
      <c r="C134" s="22" t="s">
        <v>138</v>
      </c>
    </row>
    <row r="136" spans="2:10">
      <c r="B136" s="22" t="s">
        <v>139</v>
      </c>
    </row>
    <row r="138" spans="2:10" ht="15.75" thickBot="1">
      <c r="C138" s="22" t="s">
        <v>73</v>
      </c>
      <c r="G138" s="99" t="s">
        <v>140</v>
      </c>
      <c r="H138" s="99"/>
      <c r="I138" s="99"/>
    </row>
    <row r="139" spans="2:10">
      <c r="C139" s="22">
        <v>0</v>
      </c>
      <c r="D139" s="23">
        <f>'[1]Inputs-Outputs'!C21</f>
        <v>-79532.766666666663</v>
      </c>
      <c r="G139" s="22">
        <v>0</v>
      </c>
      <c r="H139" s="23">
        <v>-79532.766666666663</v>
      </c>
    </row>
    <row r="140" spans="2:10">
      <c r="C140" s="22">
        <v>1</v>
      </c>
      <c r="D140" s="23">
        <f>'[1]Inputs-Outputs'!C22</f>
        <v>20694.5</v>
      </c>
      <c r="E140" s="22">
        <f>IF(OR(AND(D139&gt;0,D140&lt;0),AND(D139&lt;0,D140&gt;0)),1,0)</f>
        <v>1</v>
      </c>
      <c r="G140" s="22">
        <v>1</v>
      </c>
      <c r="H140" s="23">
        <v>20694.5</v>
      </c>
      <c r="I140" s="22">
        <f>IF(OR(AND(H139&gt;0,H140&lt;0),AND(H139&lt;0,H140&gt;0)),1,0)</f>
        <v>1</v>
      </c>
    </row>
    <row r="141" spans="2:10">
      <c r="C141" s="22">
        <v>2</v>
      </c>
      <c r="D141" s="23">
        <f>'[1]Inputs-Outputs'!C23</f>
        <v>25733.3</v>
      </c>
      <c r="E141" s="22">
        <f t="shared" ref="E141:E149" si="1">IF(OR(AND(D140&gt;0,D141&lt;0),AND(D140&lt;0,D141&gt;0)),1,0)</f>
        <v>0</v>
      </c>
      <c r="G141" s="22">
        <v>2</v>
      </c>
      <c r="H141" s="23">
        <v>25733.3</v>
      </c>
      <c r="I141" s="22">
        <f t="shared" ref="I141:I149" si="2">IF(OR(AND(H140&gt;0,H141&lt;0),AND(H140&lt;0,H141&gt;0)),1,0)</f>
        <v>0</v>
      </c>
    </row>
    <row r="142" spans="2:10">
      <c r="C142" s="22">
        <v>3</v>
      </c>
      <c r="D142" s="23">
        <f>'[1]Inputs-Outputs'!C24</f>
        <v>16915.400000000001</v>
      </c>
      <c r="E142" s="22">
        <f t="shared" si="1"/>
        <v>0</v>
      </c>
      <c r="G142" s="22">
        <v>3</v>
      </c>
      <c r="H142" s="23">
        <v>-15000</v>
      </c>
      <c r="I142" s="22">
        <f t="shared" si="2"/>
        <v>1</v>
      </c>
    </row>
    <row r="143" spans="2:10">
      <c r="C143" s="22">
        <v>4</v>
      </c>
      <c r="D143" s="23">
        <f>'[1]Inputs-Outputs'!C25</f>
        <v>14399.4</v>
      </c>
      <c r="E143" s="22">
        <f t="shared" si="1"/>
        <v>0</v>
      </c>
      <c r="G143" s="22">
        <v>4</v>
      </c>
      <c r="H143" s="23">
        <v>14399.4</v>
      </c>
      <c r="I143" s="22">
        <f t="shared" si="2"/>
        <v>1</v>
      </c>
    </row>
    <row r="144" spans="2:10">
      <c r="C144" s="22">
        <v>5</v>
      </c>
      <c r="D144" s="23">
        <f>'[1]Inputs-Outputs'!C26</f>
        <v>11880</v>
      </c>
      <c r="E144" s="22">
        <f t="shared" si="1"/>
        <v>0</v>
      </c>
      <c r="G144" s="22">
        <v>5</v>
      </c>
      <c r="H144" s="23">
        <v>11880</v>
      </c>
      <c r="I144" s="22">
        <f t="shared" si="2"/>
        <v>0</v>
      </c>
    </row>
    <row r="145" spans="3:9">
      <c r="C145" s="22">
        <v>6</v>
      </c>
      <c r="D145" s="23">
        <f>'[1]Inputs-Outputs'!C27</f>
        <v>11880</v>
      </c>
      <c r="E145" s="22">
        <f t="shared" si="1"/>
        <v>0</v>
      </c>
      <c r="G145" s="22">
        <v>6</v>
      </c>
      <c r="H145" s="23">
        <v>11880</v>
      </c>
      <c r="I145" s="22">
        <f t="shared" si="2"/>
        <v>0</v>
      </c>
    </row>
    <row r="146" spans="3:9">
      <c r="C146" s="22">
        <v>7</v>
      </c>
      <c r="D146" s="23">
        <f>'[1]Inputs-Outputs'!C28</f>
        <v>11880</v>
      </c>
      <c r="E146" s="22">
        <f t="shared" si="1"/>
        <v>0</v>
      </c>
      <c r="G146" s="22">
        <v>7</v>
      </c>
      <c r="H146" s="23">
        <v>11880</v>
      </c>
      <c r="I146" s="22">
        <f t="shared" si="2"/>
        <v>0</v>
      </c>
    </row>
    <row r="147" spans="3:9">
      <c r="C147" s="22">
        <v>8</v>
      </c>
      <c r="D147" s="23">
        <f>'[1]Inputs-Outputs'!C29</f>
        <v>18190.166666666668</v>
      </c>
      <c r="E147" s="22">
        <f t="shared" si="1"/>
        <v>0</v>
      </c>
      <c r="G147" s="22">
        <v>8</v>
      </c>
      <c r="H147" s="23">
        <v>18190.166666666668</v>
      </c>
      <c r="I147" s="22">
        <f t="shared" si="2"/>
        <v>0</v>
      </c>
    </row>
    <row r="148" spans="3:9">
      <c r="C148" s="22">
        <v>9</v>
      </c>
      <c r="D148" s="23" t="str">
        <f>'[1]Inputs-Outputs'!C30</f>
        <v/>
      </c>
      <c r="E148" s="22">
        <f t="shared" si="1"/>
        <v>0</v>
      </c>
      <c r="G148" s="22">
        <v>9</v>
      </c>
      <c r="H148" s="23" t="s">
        <v>141</v>
      </c>
      <c r="I148" s="22">
        <f t="shared" si="2"/>
        <v>0</v>
      </c>
    </row>
    <row r="149" spans="3:9">
      <c r="C149" s="22">
        <v>10</v>
      </c>
      <c r="D149" s="23" t="str">
        <f>'[1]Inputs-Outputs'!C31</f>
        <v/>
      </c>
      <c r="E149" s="22">
        <f t="shared" si="1"/>
        <v>0</v>
      </c>
      <c r="G149" s="22">
        <v>10</v>
      </c>
      <c r="H149" s="23" t="s">
        <v>141</v>
      </c>
      <c r="I149" s="22">
        <f t="shared" si="2"/>
        <v>0</v>
      </c>
    </row>
    <row r="150" spans="3:9">
      <c r="D150" s="22" t="s">
        <v>142</v>
      </c>
      <c r="E150" s="22">
        <f>SUM(E140:E149)</f>
        <v>1</v>
      </c>
      <c r="H150" s="22" t="s">
        <v>142</v>
      </c>
      <c r="I150" s="22">
        <f>SUM(I140:I149)</f>
        <v>3</v>
      </c>
    </row>
    <row r="152" spans="3:9">
      <c r="D152" s="22" t="s">
        <v>143</v>
      </c>
    </row>
    <row r="153" spans="3:9">
      <c r="D153" s="22" t="s">
        <v>144</v>
      </c>
    </row>
  </sheetData>
  <mergeCells count="1">
    <mergeCell ref="G138:I1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6:O30"/>
  <sheetViews>
    <sheetView tabSelected="1" topLeftCell="A16" workbookViewId="0">
      <selection activeCell="G30" sqref="G30"/>
    </sheetView>
  </sheetViews>
  <sheetFormatPr defaultColWidth="8.7109375" defaultRowHeight="15"/>
  <cols>
    <col min="1" max="1" width="3.28515625" style="22" customWidth="1"/>
    <col min="2" max="2" width="8.7109375" style="22"/>
    <col min="3" max="14" width="14" style="22" customWidth="1"/>
    <col min="15" max="16384" width="8.7109375" style="22"/>
  </cols>
  <sheetData>
    <row r="6" spans="2:15">
      <c r="C6" s="86">
        <v>0</v>
      </c>
      <c r="D6" s="86">
        <v>1</v>
      </c>
      <c r="E6" s="86">
        <v>2</v>
      </c>
      <c r="F6" s="86">
        <v>3</v>
      </c>
      <c r="G6" s="86">
        <v>4</v>
      </c>
      <c r="H6" s="86">
        <v>5</v>
      </c>
      <c r="I6" s="86">
        <v>6</v>
      </c>
      <c r="J6" s="86">
        <v>7</v>
      </c>
      <c r="K6" s="86">
        <v>8</v>
      </c>
      <c r="L6" s="86">
        <v>9</v>
      </c>
      <c r="M6" s="86">
        <v>10</v>
      </c>
      <c r="N6" s="22" t="s">
        <v>46</v>
      </c>
    </row>
    <row r="7" spans="2:15">
      <c r="C7" s="23">
        <f>'CF Detail'!D8</f>
        <v>-79533.333333333328</v>
      </c>
      <c r="D7" s="87">
        <f>'CF Detail'!D24</f>
        <v>17545.533333333333</v>
      </c>
      <c r="E7" s="87">
        <f>'CF Detail'!E24</f>
        <v>26993</v>
      </c>
      <c r="F7" s="87">
        <f>'CF Detail'!F24</f>
        <v>16915.400000000001</v>
      </c>
      <c r="G7" s="87">
        <f>'CF Detail'!G24</f>
        <v>14399.4</v>
      </c>
      <c r="H7" s="87">
        <f>'CF Detail'!H24</f>
        <v>11880</v>
      </c>
      <c r="I7" s="87">
        <f>'CF Detail'!I24</f>
        <v>11880</v>
      </c>
      <c r="J7" s="87">
        <f>'CF Detail'!J24</f>
        <v>11880</v>
      </c>
      <c r="K7" s="87">
        <f>'CF Detail'!K24</f>
        <v>20080</v>
      </c>
      <c r="L7" s="87" t="str">
        <f>'CF Detail'!L24</f>
        <v/>
      </c>
      <c r="M7" s="87" t="str">
        <f>'CF Detail'!M24</f>
        <v/>
      </c>
      <c r="N7" s="87"/>
      <c r="O7" s="87"/>
    </row>
    <row r="9" spans="2:15">
      <c r="B9" s="22" t="s">
        <v>145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>
        <f>SUM(D9:M9)</f>
        <v>0</v>
      </c>
    </row>
    <row r="11" spans="2:15" ht="15.75" thickBot="1"/>
    <row r="12" spans="2:15" ht="15.75" thickBot="1">
      <c r="E12" s="22" t="s">
        <v>145</v>
      </c>
      <c r="F12" s="88"/>
      <c r="G12" s="22" t="s">
        <v>146</v>
      </c>
    </row>
    <row r="13" spans="2:15" ht="15.75" thickBot="1"/>
    <row r="14" spans="2:15" ht="15.75" thickBot="1">
      <c r="E14" s="22" t="s">
        <v>145</v>
      </c>
      <c r="F14" s="88"/>
      <c r="G14" s="22" t="s">
        <v>147</v>
      </c>
    </row>
    <row r="19" spans="2:13">
      <c r="C19" s="86">
        <v>0</v>
      </c>
      <c r="D19" s="86">
        <v>1</v>
      </c>
      <c r="E19" s="86">
        <v>2</v>
      </c>
      <c r="F19" s="86">
        <v>3</v>
      </c>
      <c r="G19" s="86">
        <v>4</v>
      </c>
      <c r="H19" s="86">
        <v>5</v>
      </c>
      <c r="I19" s="86">
        <v>6</v>
      </c>
      <c r="J19" s="86">
        <v>7</v>
      </c>
      <c r="K19" s="86">
        <v>8</v>
      </c>
      <c r="L19" s="86">
        <v>9</v>
      </c>
      <c r="M19" s="86">
        <v>10</v>
      </c>
    </row>
    <row r="20" spans="2:13">
      <c r="C20" s="23">
        <f>C7</f>
        <v>-79533.333333333328</v>
      </c>
      <c r="D20" s="23">
        <f>IF(D7="",0,D7)</f>
        <v>17545.533333333333</v>
      </c>
      <c r="E20" s="23">
        <f t="shared" ref="E20:M20" si="0">IF(E7="",0,E7)</f>
        <v>26993</v>
      </c>
      <c r="F20" s="23">
        <f t="shared" si="0"/>
        <v>16915.400000000001</v>
      </c>
      <c r="G20" s="23">
        <f t="shared" si="0"/>
        <v>14399.4</v>
      </c>
      <c r="H20" s="23">
        <f t="shared" si="0"/>
        <v>11880</v>
      </c>
      <c r="I20" s="23">
        <f t="shared" si="0"/>
        <v>11880</v>
      </c>
      <c r="J20" s="23">
        <f t="shared" si="0"/>
        <v>11880</v>
      </c>
      <c r="K20" s="23">
        <f t="shared" si="0"/>
        <v>20080</v>
      </c>
      <c r="L20" s="23">
        <f t="shared" si="0"/>
        <v>0</v>
      </c>
      <c r="M20" s="23">
        <f t="shared" si="0"/>
        <v>0</v>
      </c>
    </row>
    <row r="22" spans="2:13"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2:13">
      <c r="B23" s="22" t="s">
        <v>148</v>
      </c>
    </row>
    <row r="26" spans="2:13">
      <c r="C26" s="86">
        <v>0</v>
      </c>
      <c r="D26" s="86">
        <v>1</v>
      </c>
      <c r="E26" s="86">
        <v>2</v>
      </c>
      <c r="F26" s="86">
        <v>3</v>
      </c>
      <c r="G26" s="86">
        <v>4</v>
      </c>
      <c r="H26" s="86">
        <v>5</v>
      </c>
      <c r="I26" s="86">
        <v>6</v>
      </c>
      <c r="J26" s="86">
        <v>7</v>
      </c>
      <c r="K26" s="86">
        <v>8</v>
      </c>
      <c r="L26" s="86">
        <v>9</v>
      </c>
      <c r="M26" s="86">
        <v>10</v>
      </c>
    </row>
    <row r="27" spans="2:13">
      <c r="C27" s="23">
        <f>C20</f>
        <v>-79533.333333333328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</row>
    <row r="29" spans="2:13"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3">
      <c r="B30" s="2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Inputs-Outputs</vt:lpstr>
      <vt:lpstr>CF Detail</vt:lpstr>
      <vt:lpstr>Depn-ATSV</vt:lpstr>
      <vt:lpstr>IRR</vt:lpstr>
      <vt:lpstr>Other</vt:lpstr>
      <vt:lpstr>LIfeNew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2009-11-04T19:14:33Z</dcterms:created>
  <dcterms:modified xsi:type="dcterms:W3CDTF">2010-04-08T20:38:28Z</dcterms:modified>
</cp:coreProperties>
</file>